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D:\"/>
    </mc:Choice>
  </mc:AlternateContent>
  <xr:revisionPtr revIDLastSave="0" documentId="13_ncr:1_{1853FF70-BC0F-4A71-9781-1C19E8938448}" xr6:coauthVersionLast="47" xr6:coauthVersionMax="47" xr10:uidLastSave="{00000000-0000-0000-0000-000000000000}"/>
  <bookViews>
    <workbookView xWindow="-108" yWindow="-108" windowWidth="23256" windowHeight="12576" tabRatio="958" firstSheet="1" activeTab="26" xr2:uid="{00000000-000D-0000-FFFF-FFFF00000000}"/>
  </bookViews>
  <sheets>
    <sheet name="Information" sheetId="228" state="hidden" r:id="rId1"/>
    <sheet name="C1.2" sheetId="159" r:id="rId2"/>
    <sheet name="C1.3" sheetId="161" r:id="rId3"/>
    <sheet name="C1.4" sheetId="162" r:id="rId4"/>
    <sheet name="C1.5" sheetId="163" r:id="rId5"/>
    <sheet name="C1.7" sheetId="165" r:id="rId6"/>
    <sheet name="C2.1" sheetId="237" r:id="rId7"/>
    <sheet name="C2.2" sheetId="238" r:id="rId8"/>
    <sheet name="C4.1" sheetId="211" r:id="rId9"/>
    <sheet name="C4.2" sheetId="212" r:id="rId10"/>
    <sheet name="C4.3" sheetId="213" r:id="rId11"/>
    <sheet name="C4.4" sheetId="235" r:id="rId12"/>
    <sheet name="C5.1" sheetId="166" r:id="rId13"/>
    <sheet name="C5.2" sheetId="167" r:id="rId14"/>
    <sheet name="C5.3" sheetId="168" r:id="rId15"/>
    <sheet name="C5.4" sheetId="169" r:id="rId16"/>
    <sheet name="C8.1" sheetId="171" r:id="rId17"/>
    <sheet name="C10.1" sheetId="250" r:id="rId18"/>
    <sheet name="C11.6" sheetId="246" r:id="rId19"/>
    <sheet name="C20.1" sheetId="192" r:id="rId20"/>
    <sheet name="A1" sheetId="285" r:id="rId21"/>
    <sheet name="Chapter E" sheetId="260" r:id="rId22"/>
    <sheet name="E1" sheetId="286" r:id="rId23"/>
    <sheet name="Chapter F" sheetId="262" r:id="rId24"/>
    <sheet name="F1" sheetId="287" r:id="rId25"/>
    <sheet name="Summary1" sheetId="288" r:id="rId26"/>
    <sheet name="Chapter G" sheetId="293" r:id="rId27"/>
    <sheet name="CPG" sheetId="283" state="hidden" r:id="rId28"/>
    <sheet name="A" sheetId="284" state="hidden" r:id="rId29"/>
    <sheet name="E" sheetId="261" state="hidden" r:id="rId30"/>
    <sheet name="F" sheetId="263" state="hidden" r:id="rId31"/>
    <sheet name="Summary" sheetId="264" state="hidden" r:id="rId32"/>
    <sheet name="Summary Checking" sheetId="254" state="hidden" r:id="rId33"/>
    <sheet name="C1.2 CPG" sheetId="290" state="hidden" r:id="rId34"/>
    <sheet name="C1.3 CPG" sheetId="289" state="hidden" r:id="rId35"/>
    <sheet name="C1.6" sheetId="164" state="hidden" r:id="rId36"/>
    <sheet name="C3.1" sheetId="208" state="hidden" r:id="rId37"/>
    <sheet name="C3.2" sheetId="209" state="hidden" r:id="rId38"/>
    <sheet name="C3.3" sheetId="207" state="hidden" r:id="rId39"/>
    <sheet name="C11.1" sheetId="241" state="hidden" r:id="rId40"/>
    <sheet name="C11.2" sheetId="242" state="hidden" r:id="rId41"/>
    <sheet name="C11.4" sheetId="244" state="hidden" r:id="rId42"/>
    <sheet name="C11.5" sheetId="245" state="hidden" r:id="rId43"/>
    <sheet name="C11.7" sheetId="247" state="hidden" r:id="rId44"/>
    <sheet name="C11.8" sheetId="248" state="hidden" r:id="rId45"/>
    <sheet name="C11.9" sheetId="249" state="hidden" r:id="rId46"/>
    <sheet name="B- STC 4189 13.1" sheetId="193" state="hidden" r:id="rId47"/>
    <sheet name="B STC 4189 13.2" sheetId="194" state="hidden" r:id="rId48"/>
    <sheet name="B STC 4189 13.3" sheetId="195" state="hidden" r:id="rId49"/>
    <sheet name="B STC 4189 13.4" sheetId="196" state="hidden" r:id="rId50"/>
    <sheet name="B STC 4189 13.7" sheetId="269" state="hidden" r:id="rId51"/>
    <sheet name="B STC 4189 13.8" sheetId="200" state="hidden" r:id="rId52"/>
    <sheet name="B- STC 3389 13.1 " sheetId="271" state="hidden" r:id="rId53"/>
    <sheet name="B STC 3389 13.2" sheetId="272" state="hidden" r:id="rId54"/>
    <sheet name="B STC 3389 13.3 " sheetId="273" state="hidden" r:id="rId55"/>
    <sheet name="B STC 3389 13.4" sheetId="274" state="hidden" r:id="rId56"/>
    <sheet name="B STC 3389 13.7 " sheetId="275" state="hidden" r:id="rId57"/>
    <sheet name="B STC 3389 13.8" sheetId="276" state="hidden" r:id="rId58"/>
    <sheet name="B- STC 4191 13.1" sheetId="277" state="hidden" r:id="rId59"/>
    <sheet name="B STC 4191 13.2" sheetId="278" state="hidden" r:id="rId60"/>
    <sheet name="B STC 4191 13.3" sheetId="279" state="hidden" r:id="rId61"/>
    <sheet name="B STC 4191 13.4" sheetId="280" state="hidden" r:id="rId62"/>
    <sheet name="B STC 4191 13.7 " sheetId="281" state="hidden" r:id="rId63"/>
    <sheet name="B STC 4191 13.8" sheetId="282" state="hidden" r:id="rId64"/>
  </sheets>
  <definedNames>
    <definedName name="_Backfill">Information!$E$51</definedName>
    <definedName name="_Benching">#REF!</definedName>
    <definedName name="_Brickwork" localSheetId="27">#REF!</definedName>
    <definedName name="_Brickwork">#REF!</definedName>
    <definedName name="_Clearing" localSheetId="27">#REF!</definedName>
    <definedName name="_Clearing">#REF!</definedName>
    <definedName name="_Client1" localSheetId="27">#REF!</definedName>
    <definedName name="_Client2" localSheetId="27">#REF!</definedName>
    <definedName name="_ContractPeriod" localSheetId="27">#REF!</definedName>
    <definedName name="_Description" localSheetId="27">#REF!</definedName>
    <definedName name="_Duration">Information!$C$13</definedName>
    <definedName name="_Excavation" localSheetId="27">#REF!</definedName>
    <definedName name="_Excavation">Information!$E$44</definedName>
    <definedName name="_Expansion" localSheetId="27">#REF!</definedName>
    <definedName name="_Expansion">#REF!</definedName>
    <definedName name="_Formwork" localSheetId="27">#REF!</definedName>
    <definedName name="_Formwork">#REF!</definedName>
    <definedName name="_Gabion" localSheetId="27">#REF!</definedName>
    <definedName name="_Gabion">#REF!</definedName>
    <definedName name="_Geofabric" localSheetId="27">#REF!</definedName>
    <definedName name="_Geofabric">Information!$E$55</definedName>
    <definedName name="_GPost" localSheetId="27">#REF!</definedName>
    <definedName name="_GPost">#REF!</definedName>
    <definedName name="_GRail" localSheetId="27">#REF!</definedName>
    <definedName name="_GRail">#REF!</definedName>
    <definedName name="_Haul" localSheetId="27">#REF!</definedName>
    <definedName name="_Haul">#REF!</definedName>
    <definedName name="_HaulPerMetre" localSheetId="27">#REF!</definedName>
    <definedName name="_HaulPerMetre">Information!$E$38</definedName>
    <definedName name="_KandC" localSheetId="27">#REF!</definedName>
    <definedName name="_KandC">#REF!</definedName>
    <definedName name="_Kerb" localSheetId="27">#REF!</definedName>
    <definedName name="_Kerb">Information!$E$58</definedName>
    <definedName name="_LabourDaily" localSheetId="27">#REF!</definedName>
    <definedName name="_LabourDaily">Information!$C$36</definedName>
    <definedName name="_LabourRate" localSheetId="27">#REF!</definedName>
    <definedName name="_LabourRate">Information!$C$34</definedName>
    <definedName name="_Markup" localSheetId="27">#REF!</definedName>
    <definedName name="_Mesh" localSheetId="27">#REF!</definedName>
    <definedName name="_Mesh">#REF!</definedName>
    <definedName name="_Mix" localSheetId="27">#REF!</definedName>
    <definedName name="_Mix">Information!$E$41</definedName>
    <definedName name="_Place" localSheetId="27">#REF!</definedName>
    <definedName name="_Place">Information!$E$42</definedName>
    <definedName name="_Plaster" localSheetId="27">#REF!</definedName>
    <definedName name="_Plaster">#REF!</definedName>
    <definedName name="_RoadLength" localSheetId="27">#REF!</definedName>
    <definedName name="_RoadstudSpc" localSheetId="27">#REF!</definedName>
    <definedName name="_Sheeting" localSheetId="27">#REF!</definedName>
    <definedName name="_Sign" localSheetId="27">#REF!</definedName>
    <definedName name="_Sign">#REF!</definedName>
    <definedName name="_Spread" localSheetId="27">#REF!</definedName>
    <definedName name="_Spread">Information!$E$47</definedName>
    <definedName name="_Stamp" localSheetId="27">#REF!</definedName>
    <definedName name="_Stamp">Information!$E$45</definedName>
    <definedName name="_Subsoil" localSheetId="27">#REF!</definedName>
    <definedName name="_Subsoil">Information!$E$56</definedName>
    <definedName name="_Summary" localSheetId="27">#REF!</definedName>
    <definedName name="_Summary">Information!$C$27</definedName>
    <definedName name="_Wacker" localSheetId="27">#REF!</definedName>
    <definedName name="_Wacker">Information!$E$46</definedName>
    <definedName name="Client1">Information!$C$2</definedName>
    <definedName name="Client2">Information!$C$3</definedName>
    <definedName name="ContractDescription">Information!$C$6</definedName>
    <definedName name="ContractNo">Information!$C$5</definedName>
    <definedName name="Page_A" localSheetId="27">#REF!</definedName>
    <definedName name="Page_A">Information!$C$24</definedName>
    <definedName name="Page_D" localSheetId="27">#REF!</definedName>
    <definedName name="Page_E">Information!$C$25</definedName>
    <definedName name="Page_F" localSheetId="27">#REF!</definedName>
    <definedName name="Page_F">Information!$C$26</definedName>
    <definedName name="Page_G" localSheetId="27">#REF!</definedName>
    <definedName name="Page_G">Information!$C$28</definedName>
    <definedName name="_xlnm.Print_Area" localSheetId="28">A!$A$1:$I$56</definedName>
    <definedName name="_xlnm.Print_Area" localSheetId="20">'A1'!$A$2:$F$34</definedName>
    <definedName name="_xlnm.Print_Area" localSheetId="52">'B- STC 3389 13.1 '!$A$2:$I$61</definedName>
    <definedName name="_xlnm.Print_Area" localSheetId="53">'B STC 3389 13.2'!$A$2:$I$74</definedName>
    <definedName name="_xlnm.Print_Area" localSheetId="54">'B STC 3389 13.3 '!$A$2:$I$75</definedName>
    <definedName name="_xlnm.Print_Area" localSheetId="55">'B STC 3389 13.4'!$A$2:$I$67</definedName>
    <definedName name="_xlnm.Print_Area" localSheetId="56">'B STC 3389 13.7 '!$A$2:$I$55</definedName>
    <definedName name="_xlnm.Print_Area" localSheetId="57">'B STC 3389 13.8'!$A$2:$I$44</definedName>
    <definedName name="_xlnm.Print_Area" localSheetId="46">'B- STC 4189 13.1'!$A$2:$I$63</definedName>
    <definedName name="_xlnm.Print_Area" localSheetId="47">'B STC 4189 13.2'!$A$2:$I$74</definedName>
    <definedName name="_xlnm.Print_Area" localSheetId="48">'B STC 4189 13.3'!$A$2:$I$75</definedName>
    <definedName name="_xlnm.Print_Area" localSheetId="49">'B STC 4189 13.4'!$A$2:$I$65</definedName>
    <definedName name="_xlnm.Print_Area" localSheetId="50">'B STC 4189 13.7'!$A$2:$I$55</definedName>
    <definedName name="_xlnm.Print_Area" localSheetId="51">'B STC 4189 13.8'!$A$2:$I$44</definedName>
    <definedName name="_xlnm.Print_Area" localSheetId="58">'B- STC 4191 13.1'!$A$2:$I$62</definedName>
    <definedName name="_xlnm.Print_Area" localSheetId="59">'B STC 4191 13.2'!$A$2:$I$74</definedName>
    <definedName name="_xlnm.Print_Area" localSheetId="60">'B STC 4191 13.3'!$A$2:$I$75</definedName>
    <definedName name="_xlnm.Print_Area" localSheetId="61">'B STC 4191 13.4'!$A$2:$I$67</definedName>
    <definedName name="_xlnm.Print_Area" localSheetId="62">'B STC 4191 13.7 '!$A$2:$I$55</definedName>
    <definedName name="_xlnm.Print_Area" localSheetId="63">'B STC 4191 13.8'!$A$2:$I$44</definedName>
    <definedName name="_xlnm.Print_Area" localSheetId="1">'C1.2'!$A$2:$I$152</definedName>
    <definedName name="_xlnm.Print_Area" localSheetId="33">'C1.2 CPG'!$A$2:$I$31</definedName>
    <definedName name="_xlnm.Print_Area" localSheetId="2">'C1.3'!$A$2:$I$75</definedName>
    <definedName name="_xlnm.Print_Area" localSheetId="34">'C1.3 CPG'!$A$2:$I$70</definedName>
    <definedName name="_xlnm.Print_Area" localSheetId="3">'C1.4'!$A$2:$I$214</definedName>
    <definedName name="_xlnm.Print_Area" localSheetId="4">'C1.5'!$A$2:$I$123</definedName>
    <definedName name="_xlnm.Print_Area" localSheetId="35">'C1.6'!$A$2:$I$48</definedName>
    <definedName name="_xlnm.Print_Area" localSheetId="5">'C1.7'!$A$2:$I$67</definedName>
    <definedName name="_xlnm.Print_Area" localSheetId="17">'C10.1'!$A$2:$I$45</definedName>
    <definedName name="_xlnm.Print_Area" localSheetId="39">'C11.1'!$A$2:$I$60</definedName>
    <definedName name="_xlnm.Print_Area" localSheetId="40">'C11.2'!$A$2:$I$60</definedName>
    <definedName name="_xlnm.Print_Area" localSheetId="41">'C11.4'!$A$2:$I$49</definedName>
    <definedName name="_xlnm.Print_Area" localSheetId="42">'C11.5'!$A$2:$I$54</definedName>
    <definedName name="_xlnm.Print_Area" localSheetId="18">'C11.6'!$A$2:$I$116</definedName>
    <definedName name="_xlnm.Print_Area" localSheetId="43">'C11.7'!$A$2:$I$65</definedName>
    <definedName name="_xlnm.Print_Area" localSheetId="44">'C11.8'!$A$2:$I$64</definedName>
    <definedName name="_xlnm.Print_Area" localSheetId="45">'C11.9'!$A$2:$I$73</definedName>
    <definedName name="_xlnm.Print_Area" localSheetId="6">'C2.1'!$A$2:$I$46</definedName>
    <definedName name="_xlnm.Print_Area" localSheetId="7">'C2.2'!$A$2:$I$46</definedName>
    <definedName name="_xlnm.Print_Area" localSheetId="19">'C20.1'!$A$2:$I$49</definedName>
    <definedName name="_xlnm.Print_Area" localSheetId="36">'C3.1'!$A$2:$I$114</definedName>
    <definedName name="_xlnm.Print_Area" localSheetId="37">'C3.2'!$A$2:$I$130</definedName>
    <definedName name="_xlnm.Print_Area" localSheetId="38">'C3.3'!$A$2:$I$121</definedName>
    <definedName name="_xlnm.Print_Area" localSheetId="8">'C4.1'!$A$2:$I$65</definedName>
    <definedName name="_xlnm.Print_Area" localSheetId="9">'C4.2'!$A$2:$I$64</definedName>
    <definedName name="_xlnm.Print_Area" localSheetId="10">'C4.3'!$A$2:$H$49</definedName>
    <definedName name="_xlnm.Print_Area" localSheetId="11">'C4.4'!$A$2:$I$31</definedName>
    <definedName name="_xlnm.Print_Area" localSheetId="12">'C5.1'!$A$2:$I$38</definedName>
    <definedName name="_xlnm.Print_Area" localSheetId="13">'C5.2'!$A$2:$I$58</definedName>
    <definedName name="_xlnm.Print_Area" localSheetId="14">'C5.3'!$A$2:$I$40</definedName>
    <definedName name="_xlnm.Print_Area" localSheetId="15">'C5.4'!$A$2:$I$51</definedName>
    <definedName name="_xlnm.Print_Area" localSheetId="16">'C8.1'!$A$2:$I$64</definedName>
    <definedName name="_xlnm.Print_Area" localSheetId="21">'Chapter E'!$A$2:$I$66</definedName>
    <definedName name="_xlnm.Print_Area" localSheetId="23">'Chapter F'!$A$2:$I$120</definedName>
    <definedName name="_xlnm.Print_Area" localSheetId="26">'Chapter G'!$A$2:$I$52</definedName>
    <definedName name="_xlnm.Print_Area" localSheetId="27">CPG!$A$1:$R$72</definedName>
    <definedName name="_xlnm.Print_Area" localSheetId="29">E!$A$1:$I$69</definedName>
    <definedName name="_xlnm.Print_Area" localSheetId="22">'E1'!$A$1:$F$15</definedName>
    <definedName name="_xlnm.Print_Area" localSheetId="30">F!$A$1:$I$70</definedName>
    <definedName name="_xlnm.Print_Area" localSheetId="24">'F1'!$A$1:$F$15</definedName>
    <definedName name="_xlnm.Print_Area" localSheetId="31">Summary!$A$1:$I$24</definedName>
    <definedName name="_xlnm.Print_Area" localSheetId="32">'Summary Checking'!$A$1:$I$129</definedName>
    <definedName name="_xlnm.Print_Area" localSheetId="25">Summary1!$A$1:$F$25</definedName>
    <definedName name="_xlnm.Print_Titles" localSheetId="17">'C10.1'!$5:$10</definedName>
    <definedName name="_xlnm.Print_Titles" localSheetId="39">'C11.1'!$5:$10</definedName>
    <definedName name="_xlnm.Print_Titles" localSheetId="40">'C11.2'!$5:$9</definedName>
    <definedName name="_xlnm.Print_Titles" localSheetId="41">'C11.4'!$5:$10</definedName>
    <definedName name="_xlnm.Print_Titles" localSheetId="42">'C11.5'!$5:$10</definedName>
    <definedName name="_xlnm.Print_Titles" localSheetId="43">'C11.7'!$5:$10</definedName>
    <definedName name="_xlnm.Print_Titles" localSheetId="45">'C11.9'!$5:$9</definedName>
    <definedName name="_xlnm.Print_Titles" localSheetId="6">'C2.1'!$5:$10</definedName>
    <definedName name="_xlnm.Print_Titles" localSheetId="7">'C2.2'!$5:$10</definedName>
    <definedName name="_xlnm.Print_Titles" localSheetId="11">'C4.4'!$5:$11</definedName>
    <definedName name="tbl_Uni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61" l="1"/>
  <c r="H38" i="262"/>
  <c r="H39" i="262"/>
  <c r="H40" i="262"/>
  <c r="H41" i="262"/>
  <c r="H42" i="262"/>
  <c r="H43" i="262"/>
  <c r="H44" i="262"/>
  <c r="H45" i="262"/>
  <c r="H46" i="262"/>
  <c r="H47" i="262"/>
  <c r="H48" i="262"/>
  <c r="C25" i="228"/>
  <c r="D31" i="285"/>
  <c r="D30" i="285" s="1"/>
  <c r="D29" i="285" s="1"/>
  <c r="D28" i="285" s="1"/>
  <c r="D27" i="285" s="1"/>
  <c r="D26" i="285" s="1"/>
  <c r="D25" i="285" s="1"/>
  <c r="D24" i="285" s="1"/>
  <c r="D23" i="285" s="1"/>
  <c r="D22" i="285" s="1"/>
  <c r="D21" i="285" s="1"/>
  <c r="D20" i="285" s="1"/>
  <c r="D19" i="285" s="1"/>
  <c r="D18" i="285" s="1"/>
  <c r="D17" i="285" s="1"/>
  <c r="D16" i="285" s="1"/>
  <c r="D15" i="285" s="1"/>
  <c r="D14" i="285" s="1"/>
  <c r="D13" i="285" s="1"/>
  <c r="B111" i="159"/>
  <c r="B108" i="159"/>
  <c r="F107" i="159"/>
  <c r="B107" i="159"/>
  <c r="H28" i="159"/>
  <c r="H29" i="159"/>
  <c r="H116" i="159"/>
  <c r="H117" i="159"/>
  <c r="H118" i="159"/>
  <c r="H119" i="159"/>
  <c r="H120" i="159"/>
  <c r="H121" i="159"/>
  <c r="H122" i="159"/>
  <c r="H123" i="159"/>
  <c r="H124" i="159"/>
  <c r="H125" i="159"/>
  <c r="H126" i="159"/>
  <c r="H127" i="159"/>
  <c r="H128" i="159"/>
  <c r="H129" i="159"/>
  <c r="H130" i="159"/>
  <c r="H131" i="159"/>
  <c r="H132" i="159"/>
  <c r="H133" i="159"/>
  <c r="H134" i="159"/>
  <c r="H135" i="159"/>
  <c r="H136" i="159"/>
  <c r="H137" i="159"/>
  <c r="H138" i="159"/>
  <c r="H139" i="159"/>
  <c r="H140" i="159"/>
  <c r="H141" i="159"/>
  <c r="H142" i="159"/>
  <c r="H143" i="159"/>
  <c r="H144" i="159"/>
  <c r="H145" i="159"/>
  <c r="B17" i="288" l="1"/>
  <c r="B15" i="288"/>
  <c r="B52" i="293" l="1"/>
  <c r="H12" i="293"/>
  <c r="H11" i="293"/>
  <c r="H10" i="293"/>
  <c r="B6" i="293"/>
  <c r="H5" i="293"/>
  <c r="B3" i="293"/>
  <c r="F2" i="293"/>
  <c r="B2" i="293"/>
  <c r="C9" i="283" l="1"/>
  <c r="B9" i="283"/>
  <c r="B31" i="290" l="1"/>
  <c r="H30" i="290"/>
  <c r="H26" i="290"/>
  <c r="H25" i="290"/>
  <c r="H24" i="290"/>
  <c r="H23" i="290"/>
  <c r="H22" i="290"/>
  <c r="H21" i="290"/>
  <c r="H20" i="290"/>
  <c r="H19" i="290"/>
  <c r="F18" i="290"/>
  <c r="H18" i="290" s="1"/>
  <c r="H17" i="290"/>
  <c r="H16" i="290"/>
  <c r="H15" i="290"/>
  <c r="H14" i="290"/>
  <c r="H13" i="290"/>
  <c r="H12" i="290"/>
  <c r="H11" i="290"/>
  <c r="H10" i="290"/>
  <c r="B6" i="290"/>
  <c r="H5" i="290"/>
  <c r="B3" i="290"/>
  <c r="L2" i="290"/>
  <c r="F2" i="290"/>
  <c r="B2" i="290"/>
  <c r="H31" i="290" l="1"/>
  <c r="C11" i="283"/>
  <c r="B11" i="283"/>
  <c r="L2" i="289"/>
  <c r="H18" i="289"/>
  <c r="H17" i="289"/>
  <c r="H15" i="289"/>
  <c r="H14" i="289"/>
  <c r="H13" i="289"/>
  <c r="H12" i="289"/>
  <c r="H11" i="289"/>
  <c r="H10" i="289"/>
  <c r="B6" i="289"/>
  <c r="H5" i="289"/>
  <c r="B3" i="289"/>
  <c r="F2" i="289"/>
  <c r="B2" i="289"/>
  <c r="H1" i="290" l="1"/>
  <c r="D9" i="283" s="1"/>
  <c r="G9" i="283" s="1"/>
  <c r="H70" i="289"/>
  <c r="H1" i="289" s="1"/>
  <c r="U60" i="283"/>
  <c r="S60" i="288"/>
  <c r="T62" i="288" s="1"/>
  <c r="C29" i="285"/>
  <c r="C30" i="285"/>
  <c r="B30" i="285"/>
  <c r="B29" i="285"/>
  <c r="C28" i="285"/>
  <c r="B28" i="285"/>
  <c r="T65" i="288" l="1"/>
  <c r="T64" i="288"/>
  <c r="T63" i="288"/>
  <c r="T61" i="288"/>
  <c r="D11" i="283"/>
  <c r="G11" i="283" s="1"/>
  <c r="H100" i="159"/>
  <c r="H101" i="159"/>
  <c r="H102" i="159"/>
  <c r="H103" i="159"/>
  <c r="H104" i="159"/>
  <c r="H147" i="159"/>
  <c r="F105" i="159"/>
  <c r="H105" i="159" s="1"/>
  <c r="H51" i="159"/>
  <c r="H50" i="159"/>
  <c r="H49" i="159"/>
  <c r="H48" i="159"/>
  <c r="H47" i="159"/>
  <c r="H46" i="159"/>
  <c r="H45" i="159"/>
  <c r="H44" i="159"/>
  <c r="H43" i="159"/>
  <c r="H42" i="159"/>
  <c r="H41" i="159"/>
  <c r="H40" i="159"/>
  <c r="H39" i="159"/>
  <c r="H38" i="159"/>
  <c r="H37" i="159"/>
  <c r="H17" i="212" l="1"/>
  <c r="H16" i="212"/>
  <c r="H19" i="212"/>
  <c r="H20" i="212"/>
  <c r="F21" i="212"/>
  <c r="H21" i="212" s="1"/>
  <c r="H22" i="212"/>
  <c r="F23" i="212"/>
  <c r="H23" i="212" s="1"/>
  <c r="F25" i="212"/>
  <c r="H25" i="212" s="1"/>
  <c r="H26" i="212"/>
  <c r="F27" i="212"/>
  <c r="H27" i="212" s="1"/>
  <c r="H28" i="212"/>
  <c r="H29" i="212"/>
  <c r="H30" i="212"/>
  <c r="H31" i="212"/>
  <c r="H32" i="212"/>
  <c r="H33" i="212"/>
  <c r="H34" i="212"/>
  <c r="H35" i="212"/>
  <c r="H36" i="212"/>
  <c r="H37" i="212"/>
  <c r="H38" i="212"/>
  <c r="H39" i="212"/>
  <c r="H40" i="212"/>
  <c r="H41" i="212"/>
  <c r="H45" i="212"/>
  <c r="H46" i="212"/>
  <c r="H47" i="212"/>
  <c r="H48" i="212"/>
  <c r="H49" i="212"/>
  <c r="Q18" i="244"/>
  <c r="H13" i="167" l="1"/>
  <c r="H14" i="167"/>
  <c r="H15" i="167"/>
  <c r="H16" i="167"/>
  <c r="H18" i="212"/>
  <c r="H15" i="212"/>
  <c r="H35" i="159"/>
  <c r="H34" i="159"/>
  <c r="H33" i="159"/>
  <c r="H32" i="159"/>
  <c r="H31" i="159"/>
  <c r="H55" i="159"/>
  <c r="H110" i="159" s="1"/>
  <c r="B56" i="159"/>
  <c r="B5" i="283"/>
  <c r="K39" i="283" l="1"/>
  <c r="K21" i="276" l="1"/>
  <c r="K21" i="282"/>
  <c r="K21" i="200"/>
  <c r="K17" i="276"/>
  <c r="K17" i="282"/>
  <c r="K17" i="200"/>
  <c r="L43" i="276"/>
  <c r="L43" i="282"/>
  <c r="L43" i="200"/>
  <c r="L47" i="275"/>
  <c r="L48" i="275"/>
  <c r="L49" i="275"/>
  <c r="L50" i="275"/>
  <c r="L51" i="275"/>
  <c r="L52" i="275"/>
  <c r="L53" i="275"/>
  <c r="L54" i="275"/>
  <c r="L47" i="281"/>
  <c r="L48" i="281"/>
  <c r="L49" i="281"/>
  <c r="L50" i="281"/>
  <c r="L51" i="281"/>
  <c r="L52" i="281"/>
  <c r="L53" i="281"/>
  <c r="L54" i="281"/>
  <c r="L47" i="269"/>
  <c r="L48" i="269"/>
  <c r="L49" i="269"/>
  <c r="L50" i="269"/>
  <c r="L51" i="269"/>
  <c r="L52" i="269"/>
  <c r="L53" i="269"/>
  <c r="L54" i="269"/>
  <c r="L45" i="196"/>
  <c r="L46" i="196"/>
  <c r="L47" i="196"/>
  <c r="L48" i="196"/>
  <c r="L49" i="196"/>
  <c r="L50" i="196"/>
  <c r="L51" i="196"/>
  <c r="L52" i="196"/>
  <c r="L53" i="196"/>
  <c r="L54" i="196"/>
  <c r="L55" i="196"/>
  <c r="L56" i="196"/>
  <c r="L57" i="196"/>
  <c r="L58" i="196"/>
  <c r="L59" i="196"/>
  <c r="L60" i="196"/>
  <c r="L61" i="196"/>
  <c r="L62" i="196"/>
  <c r="L63" i="196"/>
  <c r="L64" i="196"/>
  <c r="L47" i="274"/>
  <c r="L48" i="274"/>
  <c r="L49" i="274"/>
  <c r="L50" i="274"/>
  <c r="L51" i="274"/>
  <c r="L52" i="274"/>
  <c r="L53" i="274"/>
  <c r="L54" i="274"/>
  <c r="L55" i="274"/>
  <c r="L56" i="274"/>
  <c r="L57" i="274"/>
  <c r="L58" i="274"/>
  <c r="L59" i="274"/>
  <c r="L60" i="274"/>
  <c r="L61" i="274"/>
  <c r="L62" i="274"/>
  <c r="L63" i="274"/>
  <c r="L64" i="274"/>
  <c r="L65" i="274"/>
  <c r="L66" i="274"/>
  <c r="L47" i="280"/>
  <c r="L48" i="280"/>
  <c r="L49" i="280"/>
  <c r="L50" i="280"/>
  <c r="L51" i="280"/>
  <c r="L52" i="280"/>
  <c r="L53" i="280"/>
  <c r="L54" i="280"/>
  <c r="L55" i="280"/>
  <c r="L56" i="280"/>
  <c r="L57" i="280"/>
  <c r="L58" i="280"/>
  <c r="L59" i="280"/>
  <c r="L60" i="280"/>
  <c r="L61" i="280"/>
  <c r="L62" i="280"/>
  <c r="L63" i="280"/>
  <c r="L64" i="280"/>
  <c r="L65" i="280"/>
  <c r="L66" i="280"/>
  <c r="K30" i="273"/>
  <c r="K30" i="279"/>
  <c r="K30" i="195"/>
  <c r="K26" i="273"/>
  <c r="K26" i="279"/>
  <c r="K26" i="195"/>
  <c r="K22" i="273"/>
  <c r="K22" i="279"/>
  <c r="K22" i="195"/>
  <c r="K18" i="273"/>
  <c r="K18" i="279"/>
  <c r="K18" i="195"/>
  <c r="L47" i="273"/>
  <c r="L48" i="273"/>
  <c r="L49" i="273"/>
  <c r="L50" i="273"/>
  <c r="L51" i="273"/>
  <c r="L52" i="273"/>
  <c r="L53" i="273"/>
  <c r="L54" i="273"/>
  <c r="L55" i="273"/>
  <c r="L56" i="273"/>
  <c r="L57" i="273"/>
  <c r="L58" i="273"/>
  <c r="L59" i="273"/>
  <c r="L60" i="273"/>
  <c r="L61" i="273"/>
  <c r="L62" i="273"/>
  <c r="L63" i="273"/>
  <c r="L64" i="273"/>
  <c r="L65" i="273"/>
  <c r="L66" i="273"/>
  <c r="L67" i="273"/>
  <c r="L68" i="273"/>
  <c r="L69" i="273"/>
  <c r="L70" i="273"/>
  <c r="L71" i="273"/>
  <c r="L72" i="273"/>
  <c r="L73" i="273"/>
  <c r="L74" i="273"/>
  <c r="L47" i="279"/>
  <c r="L48" i="279"/>
  <c r="L49" i="279"/>
  <c r="L50" i="279"/>
  <c r="L51" i="279"/>
  <c r="L52" i="279"/>
  <c r="L53" i="279"/>
  <c r="L54" i="279"/>
  <c r="L55" i="279"/>
  <c r="L56" i="279"/>
  <c r="L57" i="279"/>
  <c r="L58" i="279"/>
  <c r="L59" i="279"/>
  <c r="L60" i="279"/>
  <c r="L61" i="279"/>
  <c r="L62" i="279"/>
  <c r="L63" i="279"/>
  <c r="L64" i="279"/>
  <c r="L65" i="279"/>
  <c r="L66" i="279"/>
  <c r="L67" i="279"/>
  <c r="L68" i="279"/>
  <c r="L69" i="279"/>
  <c r="L70" i="279"/>
  <c r="L71" i="279"/>
  <c r="L72" i="279"/>
  <c r="L73" i="279"/>
  <c r="L74" i="279"/>
  <c r="L47" i="195"/>
  <c r="L48" i="195"/>
  <c r="L49" i="195"/>
  <c r="L50" i="195"/>
  <c r="L51" i="195"/>
  <c r="L52" i="195"/>
  <c r="L53" i="195"/>
  <c r="L54" i="195"/>
  <c r="L55" i="195"/>
  <c r="L56" i="195"/>
  <c r="L57" i="195"/>
  <c r="L58" i="195"/>
  <c r="L59" i="195"/>
  <c r="L60" i="195"/>
  <c r="L61" i="195"/>
  <c r="L62" i="195"/>
  <c r="L63" i="195"/>
  <c r="L64" i="195"/>
  <c r="L65" i="195"/>
  <c r="L66" i="195"/>
  <c r="L67" i="195"/>
  <c r="L68" i="195"/>
  <c r="L69" i="195"/>
  <c r="L70" i="195"/>
  <c r="L71" i="195"/>
  <c r="L72" i="195"/>
  <c r="L73" i="195"/>
  <c r="L74" i="195"/>
  <c r="L47" i="272"/>
  <c r="L48" i="272"/>
  <c r="L49" i="272"/>
  <c r="L50" i="272"/>
  <c r="L51" i="272"/>
  <c r="L52" i="272"/>
  <c r="L53" i="272"/>
  <c r="L54" i="272"/>
  <c r="L55" i="272"/>
  <c r="L56" i="272"/>
  <c r="L57" i="272"/>
  <c r="L58" i="272"/>
  <c r="L59" i="272"/>
  <c r="L60" i="272"/>
  <c r="L61" i="272"/>
  <c r="L62" i="272"/>
  <c r="L63" i="272"/>
  <c r="L64" i="272"/>
  <c r="L65" i="272"/>
  <c r="L66" i="272"/>
  <c r="L67" i="272"/>
  <c r="L68" i="272"/>
  <c r="L69" i="272"/>
  <c r="L70" i="272"/>
  <c r="L71" i="272"/>
  <c r="L72" i="272"/>
  <c r="L73" i="272"/>
  <c r="L47" i="278"/>
  <c r="L48" i="278"/>
  <c r="L49" i="278"/>
  <c r="L50" i="278"/>
  <c r="L51" i="278"/>
  <c r="L52" i="278"/>
  <c r="L53" i="278"/>
  <c r="L54" i="278"/>
  <c r="L55" i="278"/>
  <c r="L56" i="278"/>
  <c r="L57" i="278"/>
  <c r="L58" i="278"/>
  <c r="L59" i="278"/>
  <c r="L60" i="278"/>
  <c r="L61" i="278"/>
  <c r="L62" i="278"/>
  <c r="L63" i="278"/>
  <c r="L64" i="278"/>
  <c r="L65" i="278"/>
  <c r="L66" i="278"/>
  <c r="L67" i="278"/>
  <c r="L68" i="278"/>
  <c r="L69" i="278"/>
  <c r="L70" i="278"/>
  <c r="L71" i="278"/>
  <c r="L72" i="278"/>
  <c r="L73" i="278"/>
  <c r="L47" i="194"/>
  <c r="L48" i="194"/>
  <c r="L49" i="194"/>
  <c r="L50" i="194"/>
  <c r="L51" i="194"/>
  <c r="L52" i="194"/>
  <c r="L53" i="194"/>
  <c r="L54" i="194"/>
  <c r="L55" i="194"/>
  <c r="L56" i="194"/>
  <c r="L57" i="194"/>
  <c r="L58" i="194"/>
  <c r="L59" i="194"/>
  <c r="L60" i="194"/>
  <c r="L61" i="194"/>
  <c r="L62" i="194"/>
  <c r="L63" i="194"/>
  <c r="L64" i="194"/>
  <c r="L65" i="194"/>
  <c r="L66" i="194"/>
  <c r="L67" i="194"/>
  <c r="L68" i="194"/>
  <c r="L69" i="194"/>
  <c r="L70" i="194"/>
  <c r="L71" i="194"/>
  <c r="L72" i="194"/>
  <c r="L73" i="194"/>
  <c r="L47" i="271"/>
  <c r="L48" i="271"/>
  <c r="L49" i="271"/>
  <c r="L50" i="271"/>
  <c r="L51" i="271"/>
  <c r="L52" i="271"/>
  <c r="L54" i="271"/>
  <c r="L56" i="271"/>
  <c r="L58" i="271"/>
  <c r="L59" i="271"/>
  <c r="L60" i="271"/>
  <c r="L47" i="277"/>
  <c r="L48" i="277"/>
  <c r="L49" i="277"/>
  <c r="L50" i="277"/>
  <c r="L51" i="277"/>
  <c r="L52" i="277"/>
  <c r="L54" i="277"/>
  <c r="L56" i="277"/>
  <c r="L58" i="277"/>
  <c r="L59" i="277"/>
  <c r="L60" i="277"/>
  <c r="L61" i="277"/>
  <c r="K23" i="271"/>
  <c r="K23" i="277"/>
  <c r="K23" i="193"/>
  <c r="K21" i="271"/>
  <c r="K21" i="277"/>
  <c r="K21" i="193"/>
  <c r="K19" i="271"/>
  <c r="K19" i="277"/>
  <c r="K19" i="193"/>
  <c r="L47" i="193"/>
  <c r="L48" i="193"/>
  <c r="L49" i="193"/>
  <c r="L50" i="193"/>
  <c r="L51" i="193"/>
  <c r="L52" i="193"/>
  <c r="L54" i="193"/>
  <c r="L56" i="193"/>
  <c r="L58" i="193"/>
  <c r="L59" i="193"/>
  <c r="L60" i="193"/>
  <c r="L61" i="193"/>
  <c r="L62" i="193"/>
  <c r="K51" i="248"/>
  <c r="L51" i="248" s="1"/>
  <c r="K49" i="248"/>
  <c r="L49" i="248" s="1"/>
  <c r="K39" i="248"/>
  <c r="K37" i="248"/>
  <c r="K35" i="248"/>
  <c r="K33" i="248"/>
  <c r="K29" i="248"/>
  <c r="L47" i="248"/>
  <c r="L48" i="248"/>
  <c r="L50" i="248"/>
  <c r="L52" i="248"/>
  <c r="L53" i="248"/>
  <c r="L54" i="248"/>
  <c r="L55" i="248"/>
  <c r="L56" i="248"/>
  <c r="L57" i="248"/>
  <c r="L58" i="248"/>
  <c r="L59" i="248"/>
  <c r="L60" i="248"/>
  <c r="L61" i="248"/>
  <c r="L62" i="248"/>
  <c r="L63" i="248"/>
  <c r="K53" i="247"/>
  <c r="L53" i="247" s="1"/>
  <c r="L51" i="247"/>
  <c r="L49" i="247"/>
  <c r="K33" i="247"/>
  <c r="L33" i="247" s="1"/>
  <c r="K31" i="247"/>
  <c r="L31" i="247" s="1"/>
  <c r="K29" i="247"/>
  <c r="K27" i="247"/>
  <c r="K23" i="247"/>
  <c r="K19" i="247"/>
  <c r="K17" i="247"/>
  <c r="L47" i="247"/>
  <c r="L48" i="247"/>
  <c r="L50" i="247"/>
  <c r="L52" i="247"/>
  <c r="L54" i="247"/>
  <c r="L55" i="247"/>
  <c r="L56" i="247"/>
  <c r="L57" i="247"/>
  <c r="L58" i="247"/>
  <c r="L59" i="247"/>
  <c r="L60" i="247"/>
  <c r="L61" i="247"/>
  <c r="L62" i="247"/>
  <c r="L63" i="247"/>
  <c r="L64" i="247"/>
  <c r="L104" i="246"/>
  <c r="L100" i="246"/>
  <c r="L98" i="246"/>
  <c r="L96" i="246"/>
  <c r="L90" i="246"/>
  <c r="L88" i="246"/>
  <c r="L86" i="246"/>
  <c r="K59" i="246"/>
  <c r="L59" i="246" s="1"/>
  <c r="L54" i="246"/>
  <c r="L52" i="246"/>
  <c r="L47" i="246"/>
  <c r="L48" i="246"/>
  <c r="L49" i="246"/>
  <c r="L50" i="246"/>
  <c r="L51" i="246"/>
  <c r="L53" i="246"/>
  <c r="L55" i="246"/>
  <c r="L56" i="246"/>
  <c r="L57" i="246"/>
  <c r="L58" i="246"/>
  <c r="L60" i="246"/>
  <c r="L61" i="246"/>
  <c r="L62" i="246"/>
  <c r="L63" i="246"/>
  <c r="L64" i="246"/>
  <c r="L65" i="246"/>
  <c r="L66" i="246"/>
  <c r="L67" i="246"/>
  <c r="L68" i="246"/>
  <c r="L69" i="246"/>
  <c r="L70" i="246"/>
  <c r="L71" i="246"/>
  <c r="L72" i="246"/>
  <c r="L73" i="246"/>
  <c r="L74" i="246"/>
  <c r="L75" i="246"/>
  <c r="L77" i="246"/>
  <c r="L79" i="246"/>
  <c r="L81" i="246"/>
  <c r="L82" i="246"/>
  <c r="L83" i="246"/>
  <c r="L84" i="246"/>
  <c r="L85" i="246"/>
  <c r="L87" i="246"/>
  <c r="L89" i="246"/>
  <c r="L91" i="246"/>
  <c r="L92" i="246"/>
  <c r="L93" i="246"/>
  <c r="L94" i="246"/>
  <c r="L95" i="246"/>
  <c r="L97" i="246"/>
  <c r="L99" i="246"/>
  <c r="L101" i="246"/>
  <c r="L102" i="246"/>
  <c r="L103" i="246"/>
  <c r="L105" i="246"/>
  <c r="L106" i="246"/>
  <c r="L107" i="246"/>
  <c r="L108" i="246"/>
  <c r="L109" i="246"/>
  <c r="L110" i="246"/>
  <c r="L111" i="246"/>
  <c r="L112" i="246"/>
  <c r="L113" i="246"/>
  <c r="L114" i="246"/>
  <c r="L115" i="246"/>
  <c r="K15" i="245"/>
  <c r="K38" i="245"/>
  <c r="K40" i="245"/>
  <c r="K32" i="245"/>
  <c r="K28" i="245"/>
  <c r="K22" i="245"/>
  <c r="H21" i="245"/>
  <c r="H22" i="245"/>
  <c r="H23" i="245"/>
  <c r="K17" i="245"/>
  <c r="K20" i="245"/>
  <c r="L47" i="245"/>
  <c r="L48" i="245"/>
  <c r="L49" i="245"/>
  <c r="L50" i="245"/>
  <c r="L51" i="245"/>
  <c r="L52" i="245"/>
  <c r="L53" i="245"/>
  <c r="K47" i="244"/>
  <c r="L47" i="244" s="1"/>
  <c r="L44" i="244"/>
  <c r="L46" i="244"/>
  <c r="L48" i="244"/>
  <c r="L45" i="244"/>
  <c r="K43" i="244"/>
  <c r="K29" i="244"/>
  <c r="K27" i="244"/>
  <c r="K25" i="244"/>
  <c r="K23" i="244"/>
  <c r="K19" i="244"/>
  <c r="H33" i="244"/>
  <c r="L43" i="242"/>
  <c r="L44" i="242"/>
  <c r="L45" i="242"/>
  <c r="L46" i="242"/>
  <c r="L48" i="242"/>
  <c r="L49" i="242"/>
  <c r="K43" i="250"/>
  <c r="K39" i="250"/>
  <c r="K35" i="250"/>
  <c r="K21" i="250"/>
  <c r="K15" i="250"/>
  <c r="K17" i="171" l="1"/>
  <c r="L17" i="171" s="1"/>
  <c r="K90" i="207"/>
  <c r="K88" i="207"/>
  <c r="L82" i="207"/>
  <c r="L76" i="207"/>
  <c r="L74" i="207"/>
  <c r="L59" i="207"/>
  <c r="L57" i="207"/>
  <c r="K53" i="207"/>
  <c r="L53" i="207" s="1"/>
  <c r="K51" i="207"/>
  <c r="L51" i="207" s="1"/>
  <c r="K47" i="207"/>
  <c r="K45" i="207"/>
  <c r="L45" i="207" s="1"/>
  <c r="K41" i="207"/>
  <c r="L41" i="207" s="1"/>
  <c r="K39" i="207"/>
  <c r="L39" i="207" s="1"/>
  <c r="L31" i="207"/>
  <c r="L29" i="207"/>
  <c r="L27" i="207"/>
  <c r="L46" i="207"/>
  <c r="L47" i="207"/>
  <c r="L48" i="207"/>
  <c r="L49" i="207"/>
  <c r="L50" i="207"/>
  <c r="L52" i="207"/>
  <c r="L54" i="207"/>
  <c r="L55" i="207"/>
  <c r="L56" i="207"/>
  <c r="L58" i="207"/>
  <c r="L60" i="207"/>
  <c r="L61" i="207"/>
  <c r="L62" i="207"/>
  <c r="L63" i="207"/>
  <c r="L64" i="207"/>
  <c r="L65" i="207"/>
  <c r="L66" i="207"/>
  <c r="L67" i="207"/>
  <c r="L68" i="207"/>
  <c r="L69" i="207"/>
  <c r="L70" i="207"/>
  <c r="L71" i="207"/>
  <c r="L72" i="207"/>
  <c r="L73" i="207"/>
  <c r="L75" i="207"/>
  <c r="L77" i="207"/>
  <c r="L79" i="207"/>
  <c r="L80" i="207"/>
  <c r="L81" i="207"/>
  <c r="L83" i="207"/>
  <c r="L85" i="207"/>
  <c r="L86" i="207"/>
  <c r="L87" i="207"/>
  <c r="L88" i="207"/>
  <c r="L89" i="207"/>
  <c r="L91" i="207"/>
  <c r="L92" i="207"/>
  <c r="L93" i="207"/>
  <c r="L94" i="207"/>
  <c r="L95" i="207"/>
  <c r="L96" i="207"/>
  <c r="L97" i="207"/>
  <c r="L98" i="207"/>
  <c r="L99" i="207"/>
  <c r="L100" i="207"/>
  <c r="L101" i="207"/>
  <c r="L102" i="207"/>
  <c r="L103" i="207"/>
  <c r="L104" i="207"/>
  <c r="L105" i="207"/>
  <c r="L106" i="207"/>
  <c r="L107" i="207"/>
  <c r="L108" i="207"/>
  <c r="L109" i="207"/>
  <c r="L110" i="207"/>
  <c r="L111" i="207"/>
  <c r="L112" i="207"/>
  <c r="L113" i="207"/>
  <c r="L114" i="207"/>
  <c r="L115" i="207"/>
  <c r="L116" i="207"/>
  <c r="L117" i="207"/>
  <c r="L118" i="207"/>
  <c r="L119" i="207"/>
  <c r="L120" i="207"/>
  <c r="L114" i="209"/>
  <c r="L112" i="209"/>
  <c r="L110" i="209"/>
  <c r="L108" i="209"/>
  <c r="L106" i="209"/>
  <c r="K102" i="209"/>
  <c r="L102" i="209" s="1"/>
  <c r="K100" i="209"/>
  <c r="L100" i="209" s="1"/>
  <c r="K98" i="209"/>
  <c r="L98" i="209" s="1"/>
  <c r="K92" i="209"/>
  <c r="L92" i="209" s="1"/>
  <c r="K90" i="209"/>
  <c r="L90" i="209" s="1"/>
  <c r="K88" i="209"/>
  <c r="L88" i="209" s="1"/>
  <c r="L80" i="209"/>
  <c r="L79" i="209"/>
  <c r="K78" i="209"/>
  <c r="L78" i="209" s="1"/>
  <c r="K76" i="209"/>
  <c r="L76" i="209" s="1"/>
  <c r="L62" i="209"/>
  <c r="K56" i="209"/>
  <c r="L56" i="209" s="1"/>
  <c r="K54" i="209"/>
  <c r="L54" i="209" s="1"/>
  <c r="K52" i="209"/>
  <c r="L52" i="209" s="1"/>
  <c r="K50" i="209"/>
  <c r="L50" i="209" s="1"/>
  <c r="L129" i="209"/>
  <c r="L128" i="209"/>
  <c r="L127" i="209"/>
  <c r="L126" i="209"/>
  <c r="L125" i="209"/>
  <c r="L124" i="209"/>
  <c r="L123" i="209"/>
  <c r="L121" i="209"/>
  <c r="L120" i="209"/>
  <c r="L119" i="209"/>
  <c r="L118" i="209"/>
  <c r="L117" i="209"/>
  <c r="L116" i="209"/>
  <c r="L115" i="209"/>
  <c r="L113" i="209"/>
  <c r="L111" i="209"/>
  <c r="L109" i="209"/>
  <c r="L107" i="209"/>
  <c r="L105" i="209"/>
  <c r="L104" i="209"/>
  <c r="L103" i="209"/>
  <c r="L101" i="209"/>
  <c r="L99" i="209"/>
  <c r="L97" i="209"/>
  <c r="L96" i="209"/>
  <c r="L95" i="209"/>
  <c r="L94" i="209"/>
  <c r="L93" i="209"/>
  <c r="L91" i="209"/>
  <c r="L89" i="209"/>
  <c r="L87" i="209"/>
  <c r="L86" i="209"/>
  <c r="L85" i="209"/>
  <c r="L84" i="209"/>
  <c r="L83" i="209"/>
  <c r="L82" i="209"/>
  <c r="L81" i="209"/>
  <c r="L77" i="209"/>
  <c r="L75" i="209"/>
  <c r="L74" i="209"/>
  <c r="L73" i="209"/>
  <c r="L72" i="209"/>
  <c r="L71" i="209"/>
  <c r="L70" i="209"/>
  <c r="L69" i="209"/>
  <c r="L68" i="209"/>
  <c r="L67" i="209"/>
  <c r="L66" i="209"/>
  <c r="L65" i="209"/>
  <c r="L64" i="209"/>
  <c r="L63" i="209"/>
  <c r="L61" i="209"/>
  <c r="L59" i="209"/>
  <c r="L58" i="209"/>
  <c r="L57" i="209"/>
  <c r="L55" i="209"/>
  <c r="L53" i="209"/>
  <c r="L51" i="209"/>
  <c r="L49" i="209"/>
  <c r="L48" i="209"/>
  <c r="L47" i="209"/>
  <c r="L45" i="209"/>
  <c r="K46" i="209"/>
  <c r="L46" i="209" s="1"/>
  <c r="K44" i="209"/>
  <c r="L44" i="209" s="1"/>
  <c r="K42" i="209"/>
  <c r="L42" i="209" s="1"/>
  <c r="K20" i="209"/>
  <c r="L20" i="209" s="1"/>
  <c r="K18" i="209"/>
  <c r="L18" i="209" s="1"/>
  <c r="K16" i="209"/>
  <c r="L16" i="209" s="1"/>
  <c r="K92" i="208"/>
  <c r="L92" i="208" s="1"/>
  <c r="P91" i="208"/>
  <c r="O91" i="208"/>
  <c r="L47" i="208"/>
  <c r="L48" i="208"/>
  <c r="L49" i="208"/>
  <c r="L50" i="208"/>
  <c r="L51" i="208"/>
  <c r="L52" i="208"/>
  <c r="L54" i="208"/>
  <c r="L56" i="208"/>
  <c r="L57" i="208"/>
  <c r="L58" i="208"/>
  <c r="L59" i="208"/>
  <c r="L60" i="208"/>
  <c r="L61" i="208"/>
  <c r="L62" i="208"/>
  <c r="L63" i="208"/>
  <c r="L64" i="208"/>
  <c r="L65" i="208"/>
  <c r="L66" i="208"/>
  <c r="L67" i="208"/>
  <c r="L68" i="208"/>
  <c r="L69" i="208"/>
  <c r="L71" i="208"/>
  <c r="L72" i="208"/>
  <c r="L73" i="208"/>
  <c r="L75" i="208"/>
  <c r="L76" i="208"/>
  <c r="L77" i="208"/>
  <c r="L79" i="208"/>
  <c r="L80" i="208"/>
  <c r="L81" i="208"/>
  <c r="L83" i="208"/>
  <c r="L85" i="208"/>
  <c r="L86" i="208"/>
  <c r="L87" i="208"/>
  <c r="L88" i="208"/>
  <c r="L89" i="208"/>
  <c r="L91" i="208"/>
  <c r="L93" i="208"/>
  <c r="L94" i="208"/>
  <c r="L95" i="208"/>
  <c r="L97" i="208"/>
  <c r="L98" i="208"/>
  <c r="L99" i="208"/>
  <c r="L100" i="208"/>
  <c r="L101" i="208"/>
  <c r="L103" i="208"/>
  <c r="L105" i="208"/>
  <c r="L107" i="208"/>
  <c r="L108" i="208"/>
  <c r="L109" i="208"/>
  <c r="L110" i="208"/>
  <c r="L111" i="208"/>
  <c r="L112" i="208"/>
  <c r="L113" i="208"/>
  <c r="H43" i="208"/>
  <c r="K19" i="208"/>
  <c r="L19" i="208" s="1"/>
  <c r="K17" i="208"/>
  <c r="L17" i="208" s="1"/>
  <c r="L32" i="164"/>
  <c r="L22" i="164"/>
  <c r="L24" i="164"/>
  <c r="L17" i="164"/>
  <c r="L15" i="164"/>
  <c r="L46" i="208"/>
  <c r="L44" i="208"/>
  <c r="L42" i="208"/>
  <c r="L40" i="208"/>
  <c r="L38" i="208"/>
  <c r="L36" i="208"/>
  <c r="L35" i="208"/>
  <c r="L34" i="208"/>
  <c r="L33" i="208"/>
  <c r="L32" i="208"/>
  <c r="L31" i="208"/>
  <c r="L30" i="208"/>
  <c r="L29" i="208"/>
  <c r="L28" i="208"/>
  <c r="L26" i="208"/>
  <c r="L24" i="208"/>
  <c r="L23" i="208"/>
  <c r="L22" i="208"/>
  <c r="L21" i="208"/>
  <c r="L20" i="208"/>
  <c r="L18" i="208"/>
  <c r="L16" i="208"/>
  <c r="L15" i="208"/>
  <c r="L14" i="208"/>
  <c r="L13" i="208"/>
  <c r="L43" i="209"/>
  <c r="L41" i="209"/>
  <c r="L40" i="209"/>
  <c r="L39" i="209"/>
  <c r="L38" i="209"/>
  <c r="L37" i="209"/>
  <c r="L35" i="209"/>
  <c r="L33" i="209"/>
  <c r="L32" i="209"/>
  <c r="L31" i="209"/>
  <c r="L29" i="209"/>
  <c r="L28" i="209"/>
  <c r="L27" i="209"/>
  <c r="L25" i="209"/>
  <c r="L23" i="209"/>
  <c r="L21" i="209"/>
  <c r="L19" i="209"/>
  <c r="L17" i="209"/>
  <c r="L15" i="209"/>
  <c r="L14" i="209"/>
  <c r="L13" i="209"/>
  <c r="L12" i="209"/>
  <c r="L44" i="207"/>
  <c r="L43" i="207"/>
  <c r="L42" i="207"/>
  <c r="L40" i="207"/>
  <c r="L38" i="207"/>
  <c r="L37" i="207"/>
  <c r="L36" i="207"/>
  <c r="L35" i="207"/>
  <c r="L34" i="207"/>
  <c r="L33" i="207"/>
  <c r="L32" i="207"/>
  <c r="L30" i="207"/>
  <c r="L28" i="207"/>
  <c r="L26" i="207"/>
  <c r="L25" i="207"/>
  <c r="L24" i="207"/>
  <c r="L23" i="207"/>
  <c r="L22" i="207"/>
  <c r="L21" i="207"/>
  <c r="L20" i="207"/>
  <c r="L19" i="207"/>
  <c r="L18" i="207"/>
  <c r="L16" i="207"/>
  <c r="L15" i="207"/>
  <c r="L14" i="207"/>
  <c r="L13" i="207"/>
  <c r="L46" i="171"/>
  <c r="L45" i="171"/>
  <c r="L44" i="171"/>
  <c r="L43" i="171"/>
  <c r="L42" i="171"/>
  <c r="L41" i="171"/>
  <c r="L40" i="171"/>
  <c r="L39" i="171"/>
  <c r="L38" i="171"/>
  <c r="L37" i="171"/>
  <c r="L36" i="171"/>
  <c r="L35" i="171"/>
  <c r="L34" i="171"/>
  <c r="K33" i="171"/>
  <c r="L33" i="171" s="1"/>
  <c r="L32" i="171"/>
  <c r="K31" i="171"/>
  <c r="L31" i="171" s="1"/>
  <c r="L30" i="171"/>
  <c r="L29" i="171"/>
  <c r="L28" i="171"/>
  <c r="L27" i="171"/>
  <c r="L26" i="171"/>
  <c r="K25" i="171"/>
  <c r="L25" i="171" s="1"/>
  <c r="L24" i="171"/>
  <c r="L23" i="171"/>
  <c r="L22" i="171"/>
  <c r="L21" i="171"/>
  <c r="L20" i="171"/>
  <c r="L19" i="171"/>
  <c r="L18" i="171"/>
  <c r="L16" i="171"/>
  <c r="K15" i="171"/>
  <c r="L15" i="171" s="1"/>
  <c r="L14" i="171"/>
  <c r="L13" i="171"/>
  <c r="L46" i="250"/>
  <c r="L44" i="250"/>
  <c r="L43" i="250"/>
  <c r="L42" i="250"/>
  <c r="L41" i="250"/>
  <c r="L40" i="250"/>
  <c r="L39" i="250"/>
  <c r="L38" i="250"/>
  <c r="L37" i="250"/>
  <c r="L36" i="250"/>
  <c r="L35" i="250"/>
  <c r="L34" i="250"/>
  <c r="L33" i="250"/>
  <c r="L32" i="250"/>
  <c r="L31" i="250"/>
  <c r="L30" i="250"/>
  <c r="L29" i="250"/>
  <c r="L28" i="250"/>
  <c r="L27" i="250"/>
  <c r="L26" i="250"/>
  <c r="L25" i="250"/>
  <c r="L24" i="250"/>
  <c r="L23" i="250"/>
  <c r="L22" i="250"/>
  <c r="L21" i="250"/>
  <c r="L20" i="250"/>
  <c r="L19" i="250"/>
  <c r="L18" i="250"/>
  <c r="L17" i="250"/>
  <c r="L16" i="250"/>
  <c r="L15" i="250"/>
  <c r="L14" i="250"/>
  <c r="L13" i="250"/>
  <c r="L46" i="241"/>
  <c r="L45" i="241"/>
  <c r="L44" i="241"/>
  <c r="L43" i="241"/>
  <c r="L42" i="241"/>
  <c r="L41" i="241"/>
  <c r="L40" i="241"/>
  <c r="L39" i="241"/>
  <c r="L38" i="241"/>
  <c r="L37" i="241"/>
  <c r="L36" i="241"/>
  <c r="L35" i="241"/>
  <c r="L34" i="241"/>
  <c r="L33" i="241"/>
  <c r="L32" i="241"/>
  <c r="L31" i="241"/>
  <c r="L30" i="241"/>
  <c r="L29" i="241"/>
  <c r="L28" i="241"/>
  <c r="L26" i="241"/>
  <c r="L24" i="241"/>
  <c r="L22" i="241"/>
  <c r="L21" i="241"/>
  <c r="L20" i="241"/>
  <c r="L19" i="241"/>
  <c r="L18" i="241"/>
  <c r="L16" i="241"/>
  <c r="L14" i="241"/>
  <c r="L13" i="241"/>
  <c r="L41" i="242"/>
  <c r="L40" i="242"/>
  <c r="L39" i="242"/>
  <c r="L38" i="242"/>
  <c r="L37" i="242"/>
  <c r="L36" i="242"/>
  <c r="L35" i="242"/>
  <c r="L34" i="242"/>
  <c r="L33" i="242"/>
  <c r="L32" i="242"/>
  <c r="L31" i="242"/>
  <c r="L30" i="242"/>
  <c r="L28" i="242"/>
  <c r="L26" i="242"/>
  <c r="L24" i="242"/>
  <c r="L23" i="242"/>
  <c r="L22" i="242"/>
  <c r="L21" i="242"/>
  <c r="L20" i="242"/>
  <c r="L19" i="242"/>
  <c r="L18" i="242"/>
  <c r="L16" i="242"/>
  <c r="L15" i="242"/>
  <c r="L14" i="242"/>
  <c r="L13" i="242"/>
  <c r="L43" i="244"/>
  <c r="L42" i="244"/>
  <c r="L41" i="244"/>
  <c r="L40" i="244"/>
  <c r="L39" i="244"/>
  <c r="L38" i="244"/>
  <c r="L37" i="244"/>
  <c r="L36" i="244"/>
  <c r="L35" i="244"/>
  <c r="L34" i="244"/>
  <c r="L33" i="244"/>
  <c r="L32" i="244"/>
  <c r="L31" i="244"/>
  <c r="L30" i="244"/>
  <c r="L29" i="244"/>
  <c r="L28" i="244"/>
  <c r="L27" i="244"/>
  <c r="L26" i="244"/>
  <c r="L25" i="244"/>
  <c r="L24" i="244"/>
  <c r="L23" i="244"/>
  <c r="L22" i="244"/>
  <c r="L21" i="244"/>
  <c r="L20" i="244"/>
  <c r="L19" i="244"/>
  <c r="L18" i="244"/>
  <c r="L17" i="244"/>
  <c r="L16" i="244"/>
  <c r="L15" i="244"/>
  <c r="L14" i="244"/>
  <c r="L13" i="244"/>
  <c r="L46" i="245"/>
  <c r="L45" i="245"/>
  <c r="L44" i="245"/>
  <c r="L43" i="245"/>
  <c r="L42" i="245"/>
  <c r="L41" i="245"/>
  <c r="L40" i="245"/>
  <c r="L39" i="245"/>
  <c r="L38" i="245"/>
  <c r="L37" i="245"/>
  <c r="L36" i="245"/>
  <c r="L35" i="245"/>
  <c r="L34" i="245"/>
  <c r="L33" i="245"/>
  <c r="L32" i="245"/>
  <c r="L31" i="245"/>
  <c r="L30" i="245"/>
  <c r="L29" i="245"/>
  <c r="L28" i="245"/>
  <c r="L27" i="245"/>
  <c r="L26" i="245"/>
  <c r="L25" i="245"/>
  <c r="L24" i="245"/>
  <c r="L23" i="245"/>
  <c r="L22" i="245"/>
  <c r="L21" i="245"/>
  <c r="L20" i="245"/>
  <c r="L19" i="245"/>
  <c r="L18" i="245"/>
  <c r="L17" i="245"/>
  <c r="L16" i="245"/>
  <c r="L15" i="245"/>
  <c r="L14" i="245"/>
  <c r="L13" i="245"/>
  <c r="L46" i="246"/>
  <c r="L45" i="246"/>
  <c r="L44" i="246"/>
  <c r="L43" i="246"/>
  <c r="L42" i="246"/>
  <c r="L41" i="246"/>
  <c r="L40" i="246"/>
  <c r="L39" i="246"/>
  <c r="L38" i="246"/>
  <c r="L37" i="246"/>
  <c r="L36" i="246"/>
  <c r="L35" i="246"/>
  <c r="L34" i="246"/>
  <c r="L33" i="246"/>
  <c r="L32" i="246"/>
  <c r="L31" i="246"/>
  <c r="L30" i="246"/>
  <c r="L29" i="246"/>
  <c r="L28" i="246"/>
  <c r="L27" i="246"/>
  <c r="L26" i="246"/>
  <c r="L25" i="246"/>
  <c r="L24" i="246"/>
  <c r="L23" i="246"/>
  <c r="L22" i="246"/>
  <c r="L21" i="246"/>
  <c r="L20" i="246"/>
  <c r="L19" i="246"/>
  <c r="L18" i="246"/>
  <c r="L17" i="246"/>
  <c r="L16" i="246"/>
  <c r="L15" i="246"/>
  <c r="L14" i="246"/>
  <c r="L13" i="246"/>
  <c r="L46" i="247"/>
  <c r="L45" i="247"/>
  <c r="L44" i="247"/>
  <c r="L43" i="247"/>
  <c r="L42" i="247"/>
  <c r="L41" i="247"/>
  <c r="L40" i="247"/>
  <c r="L39" i="247"/>
  <c r="L38" i="247"/>
  <c r="L37" i="247"/>
  <c r="L36" i="247"/>
  <c r="L35" i="247"/>
  <c r="L34" i="247"/>
  <c r="L32" i="247"/>
  <c r="L30" i="247"/>
  <c r="L29" i="247"/>
  <c r="L28" i="247"/>
  <c r="L27" i="247"/>
  <c r="L26" i="247"/>
  <c r="L25" i="247"/>
  <c r="L24" i="247"/>
  <c r="L23" i="247"/>
  <c r="L22" i="247"/>
  <c r="L21" i="247"/>
  <c r="L20" i="247"/>
  <c r="L19" i="247"/>
  <c r="L18" i="247"/>
  <c r="L17" i="247"/>
  <c r="L16" i="247"/>
  <c r="L15" i="247"/>
  <c r="L14" i="247"/>
  <c r="L13" i="247"/>
  <c r="L46" i="248"/>
  <c r="L45" i="248"/>
  <c r="L44" i="248"/>
  <c r="L43" i="248"/>
  <c r="L42" i="248"/>
  <c r="L41" i="248"/>
  <c r="L40" i="248"/>
  <c r="L39" i="248"/>
  <c r="L38" i="248"/>
  <c r="L37" i="248"/>
  <c r="L36" i="248"/>
  <c r="L35" i="248"/>
  <c r="L34" i="248"/>
  <c r="L33" i="248"/>
  <c r="L32" i="248"/>
  <c r="L31" i="248"/>
  <c r="L30" i="248"/>
  <c r="L29" i="248"/>
  <c r="L28" i="248"/>
  <c r="L27" i="248"/>
  <c r="L26" i="248"/>
  <c r="L25" i="248"/>
  <c r="L24" i="248"/>
  <c r="L22" i="248"/>
  <c r="L20" i="248"/>
  <c r="L19" i="248"/>
  <c r="L18" i="248"/>
  <c r="L17" i="248"/>
  <c r="L16" i="248"/>
  <c r="K15" i="248"/>
  <c r="L15" i="248" s="1"/>
  <c r="L14" i="248"/>
  <c r="L13" i="248"/>
  <c r="L46" i="249"/>
  <c r="L45" i="249"/>
  <c r="L44" i="249"/>
  <c r="L43" i="249"/>
  <c r="L42" i="249"/>
  <c r="L41" i="249"/>
  <c r="L40" i="249"/>
  <c r="L39" i="249"/>
  <c r="L38" i="249"/>
  <c r="L37" i="249"/>
  <c r="L36" i="249"/>
  <c r="L35" i="249"/>
  <c r="L34" i="249"/>
  <c r="K33" i="249"/>
  <c r="L33" i="249" s="1"/>
  <c r="L32" i="249"/>
  <c r="K31" i="249"/>
  <c r="L31" i="249" s="1"/>
  <c r="L30" i="249"/>
  <c r="L29" i="249"/>
  <c r="L28" i="249"/>
  <c r="L27" i="249"/>
  <c r="L26" i="249"/>
  <c r="K25" i="249"/>
  <c r="L25" i="249" s="1"/>
  <c r="L24" i="249"/>
  <c r="L23" i="249"/>
  <c r="L22" i="249"/>
  <c r="L21" i="249"/>
  <c r="L20" i="249"/>
  <c r="L19" i="249"/>
  <c r="L18" i="249"/>
  <c r="L17" i="249"/>
  <c r="L16" i="249"/>
  <c r="K15" i="249"/>
  <c r="L15" i="249" s="1"/>
  <c r="L14" i="249"/>
  <c r="L13" i="249"/>
  <c r="L46" i="193"/>
  <c r="L45" i="193"/>
  <c r="L44" i="193"/>
  <c r="L42" i="193"/>
  <c r="L40" i="193"/>
  <c r="L39" i="193"/>
  <c r="L38" i="193"/>
  <c r="L37" i="193"/>
  <c r="L36" i="193"/>
  <c r="L35" i="193"/>
  <c r="L34" i="193"/>
  <c r="L32" i="193"/>
  <c r="L31" i="193"/>
  <c r="L30" i="193"/>
  <c r="L29" i="193"/>
  <c r="L28" i="193"/>
  <c r="L27" i="193"/>
  <c r="L26" i="193"/>
  <c r="L25" i="193"/>
  <c r="L24" i="193"/>
  <c r="L23" i="193"/>
  <c r="L22" i="193"/>
  <c r="L21" i="193"/>
  <c r="L20" i="193"/>
  <c r="L19" i="193"/>
  <c r="L18" i="193"/>
  <c r="L17" i="193"/>
  <c r="L16" i="193"/>
  <c r="L15" i="193"/>
  <c r="L14" i="193"/>
  <c r="L13" i="193"/>
  <c r="L46" i="194"/>
  <c r="L45" i="194"/>
  <c r="L44" i="194"/>
  <c r="L43" i="194"/>
  <c r="L42" i="194"/>
  <c r="L41" i="194"/>
  <c r="L40" i="194"/>
  <c r="L39" i="194"/>
  <c r="L38" i="194"/>
  <c r="L37" i="194"/>
  <c r="L36" i="194"/>
  <c r="L35" i="194"/>
  <c r="L34" i="194"/>
  <c r="L33" i="194"/>
  <c r="L32" i="194"/>
  <c r="L31" i="194"/>
  <c r="L30" i="194"/>
  <c r="L29" i="194"/>
  <c r="L28" i="194"/>
  <c r="L27" i="194"/>
  <c r="L26" i="194"/>
  <c r="L25" i="194"/>
  <c r="L24" i="194"/>
  <c r="L23" i="194"/>
  <c r="L22" i="194"/>
  <c r="L21" i="194"/>
  <c r="L20" i="194"/>
  <c r="L19" i="194"/>
  <c r="L18" i="194"/>
  <c r="L17" i="194"/>
  <c r="L16" i="194"/>
  <c r="L15" i="194"/>
  <c r="L14" i="194"/>
  <c r="L13" i="194"/>
  <c r="L46" i="195"/>
  <c r="L45" i="195"/>
  <c r="L44" i="195"/>
  <c r="L43" i="195"/>
  <c r="L42" i="195"/>
  <c r="L41" i="195"/>
  <c r="L40" i="195"/>
  <c r="L39" i="195"/>
  <c r="L38" i="195"/>
  <c r="L37" i="195"/>
  <c r="L36" i="195"/>
  <c r="L35" i="195"/>
  <c r="L34" i="195"/>
  <c r="L33" i="195"/>
  <c r="L32" i="195"/>
  <c r="L31" i="195"/>
  <c r="L30" i="195"/>
  <c r="L29" i="195"/>
  <c r="L28" i="195"/>
  <c r="L27" i="195"/>
  <c r="L26" i="195"/>
  <c r="L25" i="195"/>
  <c r="L24" i="195"/>
  <c r="L23" i="195"/>
  <c r="L22" i="195"/>
  <c r="L21" i="195"/>
  <c r="L20" i="195"/>
  <c r="L19" i="195"/>
  <c r="L18" i="195"/>
  <c r="L17" i="195"/>
  <c r="L16" i="195"/>
  <c r="L15" i="195"/>
  <c r="L14" i="195"/>
  <c r="L13" i="195"/>
  <c r="L44" i="196"/>
  <c r="L43" i="196"/>
  <c r="L42" i="196"/>
  <c r="L41" i="196"/>
  <c r="L40" i="196"/>
  <c r="L39" i="196"/>
  <c r="L38" i="196"/>
  <c r="L37" i="196"/>
  <c r="L36" i="196"/>
  <c r="L35" i="196"/>
  <c r="L34" i="196"/>
  <c r="L33" i="196"/>
  <c r="L32" i="196"/>
  <c r="L31" i="196"/>
  <c r="L30" i="196"/>
  <c r="L29" i="196"/>
  <c r="L28" i="196"/>
  <c r="L27" i="196"/>
  <c r="L26" i="196"/>
  <c r="L25" i="196"/>
  <c r="L23" i="196"/>
  <c r="L21" i="196"/>
  <c r="L19" i="196"/>
  <c r="L17" i="196"/>
  <c r="L16" i="196"/>
  <c r="L15" i="196"/>
  <c r="L14" i="196"/>
  <c r="L13" i="196"/>
  <c r="L46" i="269"/>
  <c r="L45" i="269"/>
  <c r="L44" i="269"/>
  <c r="L43" i="269"/>
  <c r="L42" i="269"/>
  <c r="L41" i="269"/>
  <c r="L40" i="269"/>
  <c r="L39" i="269"/>
  <c r="L38" i="269"/>
  <c r="L37" i="269"/>
  <c r="L36" i="269"/>
  <c r="L35" i="269"/>
  <c r="L34" i="269"/>
  <c r="L33" i="269"/>
  <c r="L32" i="269"/>
  <c r="L31" i="269"/>
  <c r="L30" i="269"/>
  <c r="L29" i="269"/>
  <c r="L28" i="269"/>
  <c r="L27" i="269"/>
  <c r="L26" i="269"/>
  <c r="L25" i="269"/>
  <c r="L24" i="269"/>
  <c r="L23" i="269"/>
  <c r="L22" i="269"/>
  <c r="L21" i="269"/>
  <c r="L20" i="269"/>
  <c r="L19" i="269"/>
  <c r="L18" i="269"/>
  <c r="L17" i="269"/>
  <c r="L16" i="269"/>
  <c r="L15" i="269"/>
  <c r="L14" i="269"/>
  <c r="L13" i="269"/>
  <c r="L42" i="200"/>
  <c r="L40" i="200"/>
  <c r="L39" i="200"/>
  <c r="L38" i="200"/>
  <c r="L36" i="200"/>
  <c r="L34" i="200"/>
  <c r="L32" i="200"/>
  <c r="L30" i="200"/>
  <c r="L29" i="200"/>
  <c r="L28" i="200"/>
  <c r="L27" i="200"/>
  <c r="L26" i="200"/>
  <c r="L25" i="200"/>
  <c r="L24" i="200"/>
  <c r="L23" i="200"/>
  <c r="L22" i="200"/>
  <c r="L21" i="200"/>
  <c r="L20" i="200"/>
  <c r="L19" i="200"/>
  <c r="L18" i="200"/>
  <c r="L17" i="200"/>
  <c r="L16" i="200"/>
  <c r="L15" i="200"/>
  <c r="L14" i="200"/>
  <c r="L13" i="200"/>
  <c r="L46" i="271"/>
  <c r="L45" i="271"/>
  <c r="L44" i="271"/>
  <c r="L42" i="271"/>
  <c r="L40" i="271"/>
  <c r="L39" i="271"/>
  <c r="L38" i="271"/>
  <c r="L37" i="271"/>
  <c r="L36" i="271"/>
  <c r="L35" i="271"/>
  <c r="L34" i="271"/>
  <c r="L32" i="271"/>
  <c r="L31" i="271"/>
  <c r="L30" i="271"/>
  <c r="L29" i="271"/>
  <c r="L28" i="271"/>
  <c r="L27" i="271"/>
  <c r="L26" i="271"/>
  <c r="K25" i="271"/>
  <c r="L25" i="271" s="1"/>
  <c r="L24" i="271"/>
  <c r="L23" i="271"/>
  <c r="L22" i="271"/>
  <c r="L21" i="271"/>
  <c r="L20" i="271"/>
  <c r="L19" i="271"/>
  <c r="L18" i="271"/>
  <c r="L17" i="271"/>
  <c r="L16" i="271"/>
  <c r="L15" i="271"/>
  <c r="L14" i="271"/>
  <c r="L13" i="271"/>
  <c r="L46" i="272"/>
  <c r="L45" i="272"/>
  <c r="L44" i="272"/>
  <c r="L43" i="272"/>
  <c r="L42" i="272"/>
  <c r="L41" i="272"/>
  <c r="L40" i="272"/>
  <c r="L39" i="272"/>
  <c r="L38" i="272"/>
  <c r="L37" i="272"/>
  <c r="L36" i="272"/>
  <c r="L35" i="272"/>
  <c r="L34" i="272"/>
  <c r="L33" i="272"/>
  <c r="L32" i="272"/>
  <c r="L31" i="272"/>
  <c r="L30" i="272"/>
  <c r="L29" i="272"/>
  <c r="L28" i="272"/>
  <c r="L27" i="272"/>
  <c r="L26" i="272"/>
  <c r="L25" i="272"/>
  <c r="L24" i="272"/>
  <c r="L23" i="272"/>
  <c r="L22" i="272"/>
  <c r="L21" i="272"/>
  <c r="L20" i="272"/>
  <c r="L19" i="272"/>
  <c r="L18" i="272"/>
  <c r="L17" i="272"/>
  <c r="L16" i="272"/>
  <c r="L15" i="272"/>
  <c r="L14" i="272"/>
  <c r="L13" i="272"/>
  <c r="L46" i="273"/>
  <c r="L45" i="273"/>
  <c r="L44" i="273"/>
  <c r="L43" i="273"/>
  <c r="L42" i="273"/>
  <c r="L41" i="273"/>
  <c r="L40" i="273"/>
  <c r="L39" i="273"/>
  <c r="L38" i="273"/>
  <c r="L37" i="273"/>
  <c r="L36" i="273"/>
  <c r="L35" i="273"/>
  <c r="L34" i="273"/>
  <c r="L33" i="273"/>
  <c r="L32" i="273"/>
  <c r="L31" i="273"/>
  <c r="L30" i="273"/>
  <c r="L29" i="273"/>
  <c r="L28" i="273"/>
  <c r="L27" i="273"/>
  <c r="L26" i="273"/>
  <c r="L25" i="273"/>
  <c r="L24" i="273"/>
  <c r="L23" i="273"/>
  <c r="L22" i="273"/>
  <c r="L21" i="273"/>
  <c r="L20" i="273"/>
  <c r="L19" i="273"/>
  <c r="L18" i="273"/>
  <c r="L17" i="273"/>
  <c r="L16" i="273"/>
  <c r="L15" i="273"/>
  <c r="L14" i="273"/>
  <c r="L13" i="273"/>
  <c r="L46" i="274"/>
  <c r="L45" i="274"/>
  <c r="L44" i="274"/>
  <c r="L43" i="274"/>
  <c r="L42" i="274"/>
  <c r="L41" i="274"/>
  <c r="L40" i="274"/>
  <c r="L39" i="274"/>
  <c r="L38" i="274"/>
  <c r="L37" i="274"/>
  <c r="L36" i="274"/>
  <c r="L35" i="274"/>
  <c r="L34" i="274"/>
  <c r="L33" i="274"/>
  <c r="L32" i="274"/>
  <c r="L31" i="274"/>
  <c r="L30" i="274"/>
  <c r="L29" i="274"/>
  <c r="L28" i="274"/>
  <c r="L27" i="274"/>
  <c r="L26" i="274"/>
  <c r="L25" i="274"/>
  <c r="L23" i="274"/>
  <c r="L21" i="274"/>
  <c r="L19" i="274"/>
  <c r="L17" i="274"/>
  <c r="L16" i="274"/>
  <c r="L15" i="274"/>
  <c r="L14" i="274"/>
  <c r="L13" i="274"/>
  <c r="L46" i="275"/>
  <c r="L45" i="275"/>
  <c r="L44" i="275"/>
  <c r="L43" i="275"/>
  <c r="L42" i="275"/>
  <c r="L41" i="275"/>
  <c r="L40" i="275"/>
  <c r="L39" i="275"/>
  <c r="L38" i="275"/>
  <c r="L37" i="275"/>
  <c r="L36" i="275"/>
  <c r="L35" i="275"/>
  <c r="L34" i="275"/>
  <c r="L33" i="275"/>
  <c r="L32" i="275"/>
  <c r="L31" i="275"/>
  <c r="L30" i="275"/>
  <c r="L29" i="275"/>
  <c r="L28" i="275"/>
  <c r="L27" i="275"/>
  <c r="L26" i="275"/>
  <c r="L25" i="275"/>
  <c r="L24" i="275"/>
  <c r="L23" i="275"/>
  <c r="L22" i="275"/>
  <c r="L21" i="275"/>
  <c r="L20" i="275"/>
  <c r="L19" i="275"/>
  <c r="L18" i="275"/>
  <c r="L17" i="275"/>
  <c r="L16" i="275"/>
  <c r="L15" i="275"/>
  <c r="L14" i="275"/>
  <c r="L13" i="275"/>
  <c r="L42" i="276"/>
  <c r="L40" i="276"/>
  <c r="L39" i="276"/>
  <c r="L38" i="276"/>
  <c r="L36" i="276"/>
  <c r="L34" i="276"/>
  <c r="L32" i="276"/>
  <c r="L30" i="276"/>
  <c r="L29" i="276"/>
  <c r="L28" i="276"/>
  <c r="L27" i="276"/>
  <c r="L26" i="276"/>
  <c r="L25" i="276"/>
  <c r="L24" i="276"/>
  <c r="L23" i="276"/>
  <c r="L22" i="276"/>
  <c r="L21" i="276"/>
  <c r="L20" i="276"/>
  <c r="L19" i="276"/>
  <c r="L18" i="276"/>
  <c r="L17" i="276"/>
  <c r="L16" i="276"/>
  <c r="L15" i="276"/>
  <c r="L14" i="276"/>
  <c r="L13" i="276"/>
  <c r="L46" i="277"/>
  <c r="L45" i="277"/>
  <c r="L44" i="277"/>
  <c r="L42" i="277"/>
  <c r="L40" i="277"/>
  <c r="L39" i="277"/>
  <c r="L38" i="277"/>
  <c r="L37" i="277"/>
  <c r="L36" i="277"/>
  <c r="L35" i="277"/>
  <c r="L34" i="277"/>
  <c r="L32" i="277"/>
  <c r="L31" i="277"/>
  <c r="L30" i="277"/>
  <c r="L29" i="277"/>
  <c r="L28" i="277"/>
  <c r="L27" i="277"/>
  <c r="L26" i="277"/>
  <c r="K25" i="277"/>
  <c r="L25" i="277" s="1"/>
  <c r="L24" i="277"/>
  <c r="L23" i="277"/>
  <c r="L22" i="277"/>
  <c r="L21" i="277"/>
  <c r="L20" i="277"/>
  <c r="L19" i="277"/>
  <c r="L18" i="277"/>
  <c r="L17" i="277"/>
  <c r="L16" i="277"/>
  <c r="L15" i="277"/>
  <c r="L14" i="277"/>
  <c r="L13" i="277"/>
  <c r="L46" i="278"/>
  <c r="L45" i="278"/>
  <c r="L44" i="278"/>
  <c r="L43" i="278"/>
  <c r="L42" i="278"/>
  <c r="L41" i="278"/>
  <c r="L40" i="278"/>
  <c r="L39" i="278"/>
  <c r="L38" i="278"/>
  <c r="L37" i="278"/>
  <c r="L36" i="278"/>
  <c r="L35" i="278"/>
  <c r="L34" i="278"/>
  <c r="L33" i="278"/>
  <c r="L32" i="278"/>
  <c r="L31" i="278"/>
  <c r="L30" i="278"/>
  <c r="L29" i="278"/>
  <c r="L28" i="278"/>
  <c r="L27" i="278"/>
  <c r="L26" i="278"/>
  <c r="L25" i="278"/>
  <c r="L24" i="278"/>
  <c r="L23" i="278"/>
  <c r="L22" i="278"/>
  <c r="L21" i="278"/>
  <c r="L20" i="278"/>
  <c r="L19" i="278"/>
  <c r="L18" i="278"/>
  <c r="L17" i="278"/>
  <c r="L16" i="278"/>
  <c r="L15" i="278"/>
  <c r="L14" i="278"/>
  <c r="L13" i="278"/>
  <c r="L46" i="279"/>
  <c r="L45" i="279"/>
  <c r="L44" i="279"/>
  <c r="L43" i="279"/>
  <c r="L42" i="279"/>
  <c r="L41" i="279"/>
  <c r="L40" i="279"/>
  <c r="L39" i="279"/>
  <c r="L38" i="279"/>
  <c r="L37" i="279"/>
  <c r="L36" i="279"/>
  <c r="L35" i="279"/>
  <c r="L34" i="279"/>
  <c r="L33" i="279"/>
  <c r="L32" i="279"/>
  <c r="L31" i="279"/>
  <c r="L30" i="279"/>
  <c r="L29" i="279"/>
  <c r="L28" i="279"/>
  <c r="L27" i="279"/>
  <c r="L26" i="279"/>
  <c r="L25" i="279"/>
  <c r="L24" i="279"/>
  <c r="L23" i="279"/>
  <c r="L22" i="279"/>
  <c r="L21" i="279"/>
  <c r="L20" i="279"/>
  <c r="L19" i="279"/>
  <c r="L18" i="279"/>
  <c r="L17" i="279"/>
  <c r="L16" i="279"/>
  <c r="L15" i="279"/>
  <c r="L14" i="279"/>
  <c r="L13" i="279"/>
  <c r="L46" i="280"/>
  <c r="L45" i="280"/>
  <c r="L44" i="280"/>
  <c r="L43" i="280"/>
  <c r="L42" i="280"/>
  <c r="L41" i="280"/>
  <c r="L40" i="280"/>
  <c r="L39" i="280"/>
  <c r="L38" i="280"/>
  <c r="L37" i="280"/>
  <c r="L36" i="280"/>
  <c r="L35" i="280"/>
  <c r="L34" i="280"/>
  <c r="L33" i="280"/>
  <c r="L32" i="280"/>
  <c r="L31" i="280"/>
  <c r="L30" i="280"/>
  <c r="L29" i="280"/>
  <c r="L28" i="280"/>
  <c r="L27" i="280"/>
  <c r="L26" i="280"/>
  <c r="L25" i="280"/>
  <c r="L23" i="280"/>
  <c r="L21" i="280"/>
  <c r="L19" i="280"/>
  <c r="L17" i="280"/>
  <c r="L16" i="280"/>
  <c r="L15" i="280"/>
  <c r="L14" i="280"/>
  <c r="L13" i="280"/>
  <c r="L46" i="281"/>
  <c r="L45" i="281"/>
  <c r="L44" i="281"/>
  <c r="L43" i="281"/>
  <c r="L42" i="281"/>
  <c r="L41" i="281"/>
  <c r="L40" i="281"/>
  <c r="L39" i="281"/>
  <c r="L38" i="281"/>
  <c r="L37" i="281"/>
  <c r="L36" i="281"/>
  <c r="L35" i="281"/>
  <c r="L34" i="281"/>
  <c r="L33" i="281"/>
  <c r="L32" i="281"/>
  <c r="L31" i="281"/>
  <c r="L30" i="281"/>
  <c r="L29" i="281"/>
  <c r="L28" i="281"/>
  <c r="L27" i="281"/>
  <c r="L26" i="281"/>
  <c r="L25" i="281"/>
  <c r="L24" i="281"/>
  <c r="L23" i="281"/>
  <c r="L22" i="281"/>
  <c r="L21" i="281"/>
  <c r="L20" i="281"/>
  <c r="L19" i="281"/>
  <c r="L18" i="281"/>
  <c r="L17" i="281"/>
  <c r="L16" i="281"/>
  <c r="L15" i="281"/>
  <c r="L14" i="281"/>
  <c r="L13" i="281"/>
  <c r="L42" i="282"/>
  <c r="L40" i="282"/>
  <c r="L39" i="282"/>
  <c r="L38" i="282"/>
  <c r="L36" i="282"/>
  <c r="L34" i="282"/>
  <c r="L32" i="282"/>
  <c r="L30" i="282"/>
  <c r="L29" i="282"/>
  <c r="L28" i="282"/>
  <c r="L27" i="282"/>
  <c r="L26" i="282"/>
  <c r="L25" i="282"/>
  <c r="L24" i="282"/>
  <c r="L23" i="282"/>
  <c r="L22" i="282"/>
  <c r="L21" i="282"/>
  <c r="L20" i="282"/>
  <c r="L19" i="282"/>
  <c r="L18" i="282"/>
  <c r="L17" i="282"/>
  <c r="L16" i="282"/>
  <c r="L15" i="282"/>
  <c r="L14" i="282"/>
  <c r="L13" i="282"/>
  <c r="L45" i="164"/>
  <c r="L44" i="164"/>
  <c r="L43" i="164"/>
  <c r="L42" i="164"/>
  <c r="L41" i="164"/>
  <c r="L40" i="164"/>
  <c r="L39" i="164"/>
  <c r="L38" i="164"/>
  <c r="L37" i="164"/>
  <c r="L35" i="164"/>
  <c r="L34" i="164"/>
  <c r="L29" i="164"/>
  <c r="L27" i="164"/>
  <c r="L26" i="164"/>
  <c r="L23" i="164"/>
  <c r="L21" i="164"/>
  <c r="L20" i="164"/>
  <c r="L19" i="164"/>
  <c r="L18" i="164"/>
  <c r="L16" i="164"/>
  <c r="L14" i="164"/>
  <c r="L13" i="164"/>
  <c r="L50" i="169"/>
  <c r="L49" i="169"/>
  <c r="L48" i="169"/>
  <c r="L47" i="169"/>
  <c r="L46" i="169"/>
  <c r="L45" i="169"/>
  <c r="L44" i="169"/>
  <c r="L43" i="169"/>
  <c r="L42" i="169"/>
  <c r="L41" i="169"/>
  <c r="L40" i="169"/>
  <c r="L39" i="169"/>
  <c r="L38" i="169"/>
  <c r="L37" i="169"/>
  <c r="L36" i="169"/>
  <c r="L35" i="169"/>
  <c r="L34" i="169"/>
  <c r="L32" i="169"/>
  <c r="L30" i="169"/>
  <c r="L29" i="169"/>
  <c r="L28" i="169"/>
  <c r="L27" i="169"/>
  <c r="L26" i="169"/>
  <c r="L24" i="169"/>
  <c r="L23" i="169"/>
  <c r="L22" i="169"/>
  <c r="L21" i="169"/>
  <c r="L20" i="169"/>
  <c r="L19" i="169"/>
  <c r="L18" i="169"/>
  <c r="L17" i="169"/>
  <c r="L16" i="169"/>
  <c r="L14" i="169"/>
  <c r="L13" i="169"/>
  <c r="K33" i="169"/>
  <c r="L33" i="169" s="1"/>
  <c r="K31" i="169"/>
  <c r="L31" i="169" s="1"/>
  <c r="K25" i="169"/>
  <c r="L25" i="169" s="1"/>
  <c r="K15" i="169"/>
  <c r="L15" i="169" s="1"/>
  <c r="L39" i="168"/>
  <c r="L38" i="168"/>
  <c r="L37" i="168"/>
  <c r="L36" i="168"/>
  <c r="L35" i="168"/>
  <c r="L34" i="168"/>
  <c r="L33" i="168"/>
  <c r="L32" i="168"/>
  <c r="L31" i="168"/>
  <c r="L30" i="168"/>
  <c r="L29" i="168"/>
  <c r="L28" i="168"/>
  <c r="L27" i="168"/>
  <c r="L26" i="168"/>
  <c r="L24" i="168"/>
  <c r="L22" i="168"/>
  <c r="L20" i="168"/>
  <c r="L18" i="168"/>
  <c r="L17" i="168"/>
  <c r="L16" i="168"/>
  <c r="L15" i="168"/>
  <c r="L14" i="168"/>
  <c r="L13" i="168"/>
  <c r="L12" i="168"/>
  <c r="L11" i="168"/>
  <c r="L10" i="168"/>
  <c r="K25" i="168"/>
  <c r="L25" i="168" s="1"/>
  <c r="K23" i="168"/>
  <c r="K21" i="168"/>
  <c r="L21" i="168" s="1"/>
  <c r="K19" i="168"/>
  <c r="L34" i="167"/>
  <c r="L33" i="167"/>
  <c r="L32" i="167"/>
  <c r="L31" i="167"/>
  <c r="L30" i="167"/>
  <c r="L29" i="167"/>
  <c r="L28" i="167"/>
  <c r="L27" i="167"/>
  <c r="L26" i="167"/>
  <c r="L25" i="167"/>
  <c r="L24" i="167"/>
  <c r="L23" i="167"/>
  <c r="L22" i="167"/>
  <c r="L20" i="167"/>
  <c r="L19" i="167"/>
  <c r="L18" i="167"/>
  <c r="L16" i="167"/>
  <c r="L15" i="167"/>
  <c r="L14" i="167"/>
  <c r="L13" i="167"/>
  <c r="K17" i="167"/>
  <c r="L17" i="167" s="1"/>
  <c r="K21" i="167"/>
  <c r="L21" i="167" s="1"/>
  <c r="L32" i="166"/>
  <c r="L31" i="166"/>
  <c r="L30" i="166"/>
  <c r="L29" i="166"/>
  <c r="L28" i="166"/>
  <c r="L27" i="166"/>
  <c r="L26" i="166"/>
  <c r="L24" i="166"/>
  <c r="L22" i="166"/>
  <c r="L20" i="166"/>
  <c r="L19" i="166"/>
  <c r="L18" i="166"/>
  <c r="L17" i="166"/>
  <c r="L16" i="166"/>
  <c r="L14" i="166"/>
  <c r="K21" i="166"/>
  <c r="L21" i="166" s="1"/>
  <c r="K15" i="166"/>
  <c r="L28" i="235"/>
  <c r="L26" i="235"/>
  <c r="L25" i="235"/>
  <c r="L24" i="235"/>
  <c r="L23" i="235"/>
  <c r="L22" i="235"/>
  <c r="L21" i="235"/>
  <c r="L20" i="235"/>
  <c r="L18" i="235"/>
  <c r="L16" i="235"/>
  <c r="L15" i="235"/>
  <c r="L14" i="235"/>
  <c r="L13" i="235"/>
  <c r="K27" i="235"/>
  <c r="L27" i="235" s="1"/>
  <c r="K19" i="235"/>
  <c r="K17" i="235"/>
  <c r="L17" i="235" s="1"/>
  <c r="L36" i="213"/>
  <c r="L35" i="213"/>
  <c r="L34" i="213"/>
  <c r="L33" i="213"/>
  <c r="L32" i="213"/>
  <c r="L31" i="213"/>
  <c r="L30" i="213"/>
  <c r="L29" i="213"/>
  <c r="L28" i="213"/>
  <c r="L27" i="213"/>
  <c r="L25" i="213"/>
  <c r="L24" i="213"/>
  <c r="L23" i="213"/>
  <c r="L22" i="213"/>
  <c r="L21" i="213"/>
  <c r="L20" i="213"/>
  <c r="L18" i="213"/>
  <c r="L16" i="213"/>
  <c r="L15" i="213"/>
  <c r="L14" i="213"/>
  <c r="L13" i="213"/>
  <c r="K26" i="213"/>
  <c r="L26" i="213" s="1"/>
  <c r="K19" i="213"/>
  <c r="L19" i="213" s="1"/>
  <c r="K17" i="213"/>
  <c r="L17" i="213" s="1"/>
  <c r="L49" i="213" s="1"/>
  <c r="K32" i="212"/>
  <c r="L32" i="212" s="1"/>
  <c r="K30" i="212"/>
  <c r="L30" i="212" s="1"/>
  <c r="K28" i="212"/>
  <c r="L28" i="212" s="1"/>
  <c r="K24" i="212"/>
  <c r="L24" i="212" s="1"/>
  <c r="K20" i="212"/>
  <c r="L20" i="212" s="1"/>
  <c r="K18" i="212"/>
  <c r="L18" i="212" s="1"/>
  <c r="K16" i="212"/>
  <c r="L16" i="212" s="1"/>
  <c r="L43" i="212"/>
  <c r="L55" i="212"/>
  <c r="L56" i="212"/>
  <c r="L57" i="212"/>
  <c r="L58" i="212"/>
  <c r="L59" i="212"/>
  <c r="L60" i="212"/>
  <c r="L61" i="212"/>
  <c r="L62" i="212"/>
  <c r="L63" i="212"/>
  <c r="L10" i="212"/>
  <c r="L11" i="212"/>
  <c r="L12" i="212"/>
  <c r="L13" i="212"/>
  <c r="L14" i="212"/>
  <c r="L15" i="212"/>
  <c r="L19" i="212"/>
  <c r="L21" i="212"/>
  <c r="L22" i="212"/>
  <c r="L23" i="212"/>
  <c r="L25" i="212"/>
  <c r="L26" i="212"/>
  <c r="L27" i="212"/>
  <c r="L29" i="212"/>
  <c r="L31" i="212"/>
  <c r="L33" i="212"/>
  <c r="L34" i="212"/>
  <c r="L35" i="212"/>
  <c r="L36" i="212"/>
  <c r="L37" i="212"/>
  <c r="L38" i="212"/>
  <c r="L39" i="212"/>
  <c r="L40" i="212"/>
  <c r="L41" i="212"/>
  <c r="L32" i="211"/>
  <c r="K31" i="211"/>
  <c r="L31" i="211" s="1"/>
  <c r="K30" i="211"/>
  <c r="L30" i="211" s="1"/>
  <c r="L34" i="238"/>
  <c r="L33" i="238"/>
  <c r="L31" i="238"/>
  <c r="L30" i="238"/>
  <c r="L29" i="238"/>
  <c r="L27" i="238"/>
  <c r="L26" i="238"/>
  <c r="L25" i="238"/>
  <c r="L23" i="238"/>
  <c r="L22" i="238"/>
  <c r="L21" i="238"/>
  <c r="L20" i="238"/>
  <c r="L18" i="238"/>
  <c r="L16" i="238"/>
  <c r="L15" i="238"/>
  <c r="L14" i="238"/>
  <c r="L13" i="238"/>
  <c r="L12" i="238"/>
  <c r="K32" i="238"/>
  <c r="L32" i="238" s="1"/>
  <c r="E63" i="228"/>
  <c r="E57" i="228"/>
  <c r="E56" i="228"/>
  <c r="K19" i="238" s="1" a="1"/>
  <c r="K19" i="238" s="1"/>
  <c r="L19" i="238" s="1"/>
  <c r="E55" i="228"/>
  <c r="K84" i="207" s="1"/>
  <c r="L84" i="207" s="1"/>
  <c r="E54" i="228"/>
  <c r="E53" i="228"/>
  <c r="E52" i="228"/>
  <c r="E50" i="228"/>
  <c r="E47" i="228"/>
  <c r="K104" i="208" s="1"/>
  <c r="L104" i="208" s="1"/>
  <c r="E46" i="228"/>
  <c r="K122" i="209" s="1"/>
  <c r="L122" i="209" s="1"/>
  <c r="E45" i="228"/>
  <c r="E41" i="228"/>
  <c r="E38" i="228"/>
  <c r="E40" i="228" s="1"/>
  <c r="L22" i="237"/>
  <c r="L23" i="237"/>
  <c r="L24" i="237"/>
  <c r="L25" i="237"/>
  <c r="L26" i="237"/>
  <c r="L28" i="237"/>
  <c r="L30" i="237"/>
  <c r="L31" i="237"/>
  <c r="L32" i="237"/>
  <c r="L34" i="237"/>
  <c r="L36" i="237"/>
  <c r="L37" i="237"/>
  <c r="L38" i="237"/>
  <c r="L39" i="237"/>
  <c r="L40" i="237"/>
  <c r="L42" i="237"/>
  <c r="L18" i="165"/>
  <c r="L20" i="165"/>
  <c r="L21" i="165"/>
  <c r="K17" i="165"/>
  <c r="L17" i="165" s="1"/>
  <c r="K15" i="165"/>
  <c r="L15" i="165" s="1"/>
  <c r="K46" i="163"/>
  <c r="L46" i="163" s="1"/>
  <c r="K44" i="163"/>
  <c r="L44" i="163" s="1"/>
  <c r="K42" i="163"/>
  <c r="L42" i="163" s="1"/>
  <c r="K40" i="163"/>
  <c r="L40" i="163" s="1"/>
  <c r="K38" i="163"/>
  <c r="L38" i="163" s="1"/>
  <c r="L62" i="163"/>
  <c r="K60" i="163"/>
  <c r="L60" i="163" s="1"/>
  <c r="K58" i="163"/>
  <c r="K56" i="163"/>
  <c r="K54" i="163"/>
  <c r="K52" i="163"/>
  <c r="K50" i="163"/>
  <c r="K28" i="163"/>
  <c r="L28" i="163" s="1"/>
  <c r="K26" i="163"/>
  <c r="L26" i="163" s="1"/>
  <c r="K24" i="163"/>
  <c r="L24" i="163" s="1"/>
  <c r="L25" i="163"/>
  <c r="L27" i="163"/>
  <c r="L29" i="163"/>
  <c r="L31" i="163"/>
  <c r="L33" i="163"/>
  <c r="L34" i="163"/>
  <c r="L35" i="163"/>
  <c r="L36" i="163"/>
  <c r="L37" i="163"/>
  <c r="L39" i="163"/>
  <c r="L41" i="163"/>
  <c r="L43" i="163"/>
  <c r="L45" i="163"/>
  <c r="L47" i="163"/>
  <c r="L48" i="163"/>
  <c r="L49" i="163"/>
  <c r="L51" i="163"/>
  <c r="L53" i="163"/>
  <c r="L55" i="163"/>
  <c r="L57" i="163"/>
  <c r="L59" i="163"/>
  <c r="L61" i="163"/>
  <c r="L63" i="163"/>
  <c r="L64" i="163"/>
  <c r="L69" i="163"/>
  <c r="L70" i="163"/>
  <c r="L71" i="163"/>
  <c r="L72" i="163"/>
  <c r="L73" i="163"/>
  <c r="L74" i="163"/>
  <c r="L75" i="163"/>
  <c r="L76" i="163"/>
  <c r="L77" i="163"/>
  <c r="L78" i="163"/>
  <c r="L79" i="163"/>
  <c r="L80" i="163"/>
  <c r="L81" i="163"/>
  <c r="L82" i="163"/>
  <c r="L83" i="163"/>
  <c r="L84" i="163"/>
  <c r="L85" i="163"/>
  <c r="L86" i="163"/>
  <c r="L87" i="163"/>
  <c r="L88" i="163"/>
  <c r="L89" i="163"/>
  <c r="L90" i="163"/>
  <c r="L91" i="163"/>
  <c r="L92" i="163"/>
  <c r="L93" i="163"/>
  <c r="L94" i="163"/>
  <c r="L95" i="163"/>
  <c r="L96" i="163"/>
  <c r="L97" i="163"/>
  <c r="L98" i="163"/>
  <c r="L99" i="163"/>
  <c r="L100" i="163"/>
  <c r="L101" i="163"/>
  <c r="L102" i="163"/>
  <c r="L103" i="163"/>
  <c r="L104" i="163"/>
  <c r="L105" i="163"/>
  <c r="L106" i="163"/>
  <c r="L107" i="163"/>
  <c r="L108" i="163"/>
  <c r="L109" i="163"/>
  <c r="L110" i="163"/>
  <c r="L111" i="163"/>
  <c r="L112" i="163"/>
  <c r="L113" i="163"/>
  <c r="L114" i="163"/>
  <c r="L115" i="163"/>
  <c r="L116" i="163"/>
  <c r="L117" i="163"/>
  <c r="L118" i="163"/>
  <c r="L119" i="163"/>
  <c r="L120" i="163"/>
  <c r="L121" i="163"/>
  <c r="L122" i="163"/>
  <c r="L15" i="163"/>
  <c r="L16" i="163"/>
  <c r="L17" i="163"/>
  <c r="L19" i="163"/>
  <c r="L20" i="163"/>
  <c r="L21" i="163"/>
  <c r="L22" i="163"/>
  <c r="L23" i="163"/>
  <c r="K18" i="163"/>
  <c r="L18" i="163" s="1"/>
  <c r="K14" i="163"/>
  <c r="K17" i="162"/>
  <c r="L17" i="162" s="1"/>
  <c r="L9" i="162" s="1"/>
  <c r="K21" i="161"/>
  <c r="L21" i="161" s="1"/>
  <c r="L2" i="161" s="1"/>
  <c r="J10" i="283" s="1"/>
  <c r="C36" i="228"/>
  <c r="L2" i="192"/>
  <c r="J58" i="283" s="1"/>
  <c r="L2" i="211" l="1"/>
  <c r="J21" i="283" s="1"/>
  <c r="L55" i="281"/>
  <c r="L55" i="275"/>
  <c r="L55" i="269"/>
  <c r="L73" i="249"/>
  <c r="L65" i="247"/>
  <c r="L64" i="171"/>
  <c r="L2" i="171" s="1"/>
  <c r="J29" i="283" s="1"/>
  <c r="L51" i="169"/>
  <c r="L2" i="169" s="1"/>
  <c r="J28" i="283" s="1"/>
  <c r="L54" i="245"/>
  <c r="K23" i="166"/>
  <c r="L23" i="166" s="1"/>
  <c r="K25" i="166"/>
  <c r="L25" i="166" s="1"/>
  <c r="L2" i="213"/>
  <c r="J23" i="283" s="1"/>
  <c r="E60" i="228"/>
  <c r="K19" i="165"/>
  <c r="L49" i="244"/>
  <c r="L2" i="244" s="1"/>
  <c r="J33" i="283" s="1"/>
  <c r="L45" i="250"/>
  <c r="L2" i="250" s="1"/>
  <c r="J30" i="283" s="1"/>
  <c r="K30" i="163"/>
  <c r="L30" i="163" s="1"/>
  <c r="E61" i="228"/>
  <c r="K70" i="208"/>
  <c r="L70" i="208" s="1"/>
  <c r="K32" i="163"/>
  <c r="L32" i="163" s="1"/>
  <c r="K21" i="237"/>
  <c r="L21" i="237" s="1"/>
  <c r="E43" i="228"/>
  <c r="E62" i="228"/>
  <c r="K74" i="208"/>
  <c r="L74" i="208" s="1"/>
  <c r="K27" i="237"/>
  <c r="L27" i="237" s="1"/>
  <c r="E44" i="228"/>
  <c r="K78" i="208"/>
  <c r="L78" i="208" s="1"/>
  <c r="K102" i="208"/>
  <c r="L102" i="208" s="1"/>
  <c r="E58" i="228"/>
  <c r="K17" i="207" s="1"/>
  <c r="L17" i="207" s="1"/>
  <c r="K80" i="246"/>
  <c r="L80" i="246" s="1"/>
  <c r="K25" i="241"/>
  <c r="L25" i="241" s="1"/>
  <c r="K23" i="241"/>
  <c r="L23" i="241" s="1"/>
  <c r="K17" i="238" a="1"/>
  <c r="K17" i="238" s="1"/>
  <c r="L17" i="238" s="1"/>
  <c r="K82" i="208"/>
  <c r="L82" i="208" s="1"/>
  <c r="L19" i="165"/>
  <c r="L67" i="165" s="1"/>
  <c r="K29" i="237"/>
  <c r="L29" i="237" s="1"/>
  <c r="K41" i="237"/>
  <c r="L41" i="237" s="1"/>
  <c r="E51" i="228"/>
  <c r="K42" i="242"/>
  <c r="L42" i="242" s="1"/>
  <c r="K33" i="200"/>
  <c r="L33" i="200" s="1"/>
  <c r="K33" i="276"/>
  <c r="L33" i="276" s="1"/>
  <c r="K33" i="282"/>
  <c r="L33" i="282" s="1"/>
  <c r="K28" i="164"/>
  <c r="L28" i="164" s="1"/>
  <c r="K84" i="208"/>
  <c r="L84" i="208" s="1"/>
  <c r="K33" i="237"/>
  <c r="L33" i="237" s="1"/>
  <c r="K23" i="248"/>
  <c r="L23" i="248" s="1"/>
  <c r="K21" i="248"/>
  <c r="L21" i="248" s="1"/>
  <c r="K41" i="282"/>
  <c r="L41" i="282" s="1"/>
  <c r="K31" i="276"/>
  <c r="L31" i="276" s="1"/>
  <c r="K41" i="200"/>
  <c r="L41" i="200" s="1"/>
  <c r="K31" i="282"/>
  <c r="L31" i="282" s="1"/>
  <c r="K31" i="200"/>
  <c r="L31" i="200" s="1"/>
  <c r="K41" i="276"/>
  <c r="L41" i="276" s="1"/>
  <c r="K37" i="276"/>
  <c r="L37" i="276" s="1"/>
  <c r="K37" i="282"/>
  <c r="L37" i="282" s="1"/>
  <c r="K37" i="200"/>
  <c r="L37" i="200" s="1"/>
  <c r="K30" i="164"/>
  <c r="L30" i="164" s="1"/>
  <c r="L130" i="209"/>
  <c r="K35" i="237"/>
  <c r="L35" i="237" s="1"/>
  <c r="E48" i="228"/>
  <c r="K24" i="238"/>
  <c r="L24" i="238" s="1"/>
  <c r="E49" i="228"/>
  <c r="L58" i="167"/>
  <c r="L2" i="167" s="1"/>
  <c r="J26" i="283" s="1"/>
  <c r="L75" i="279"/>
  <c r="L2" i="279" s="1"/>
  <c r="J54" i="283" s="1"/>
  <c r="L75" i="273"/>
  <c r="L2" i="273" s="1"/>
  <c r="J48" i="283" s="1"/>
  <c r="L75" i="195"/>
  <c r="L74" i="278"/>
  <c r="L2" i="278" s="1"/>
  <c r="J53" i="283" s="1"/>
  <c r="L74" i="272"/>
  <c r="L2" i="272" s="1"/>
  <c r="J47" i="283" s="1"/>
  <c r="L74" i="194"/>
  <c r="L2" i="194" s="1"/>
  <c r="J41" i="283" s="1"/>
  <c r="L2" i="245"/>
  <c r="J34" i="283" s="1"/>
  <c r="L2" i="269"/>
  <c r="J44" i="283" s="1"/>
  <c r="L2" i="195"/>
  <c r="J42" i="283" s="1"/>
  <c r="L2" i="249"/>
  <c r="J38" i="283" s="1"/>
  <c r="L2" i="247"/>
  <c r="J36" i="283" s="1"/>
  <c r="L2" i="275"/>
  <c r="J50" i="283" s="1"/>
  <c r="L2" i="281"/>
  <c r="J56" i="283" s="1"/>
  <c r="E42" i="228"/>
  <c r="L2" i="162"/>
  <c r="J12" i="283" s="1"/>
  <c r="L2" i="159"/>
  <c r="J8" i="283" s="1"/>
  <c r="L48" i="164" l="1"/>
  <c r="L2" i="164" s="1"/>
  <c r="J14" i="283" s="1"/>
  <c r="L64" i="248"/>
  <c r="L2" i="248" s="1"/>
  <c r="J37" i="283" s="1"/>
  <c r="E59" i="228"/>
  <c r="L2" i="165"/>
  <c r="J15" i="283" s="1"/>
  <c r="K43" i="277"/>
  <c r="L43" i="277" s="1"/>
  <c r="K78" i="246"/>
  <c r="L78" i="246" s="1"/>
  <c r="K43" i="193"/>
  <c r="L43" i="193" s="1"/>
  <c r="K35" i="276"/>
  <c r="L35" i="276" s="1"/>
  <c r="L44" i="276" s="1"/>
  <c r="L2" i="276" s="1"/>
  <c r="J51" i="283" s="1"/>
  <c r="K41" i="271"/>
  <c r="L41" i="271" s="1"/>
  <c r="K47" i="242"/>
  <c r="L47" i="242" s="1"/>
  <c r="K35" i="282"/>
  <c r="L35" i="282" s="1"/>
  <c r="L44" i="282" s="1"/>
  <c r="L2" i="282" s="1"/>
  <c r="J57" i="283" s="1"/>
  <c r="K41" i="277"/>
  <c r="L41" i="277" s="1"/>
  <c r="K35" i="200"/>
  <c r="L35" i="200" s="1"/>
  <c r="L44" i="200" s="1"/>
  <c r="L2" i="200" s="1"/>
  <c r="J45" i="283" s="1"/>
  <c r="K53" i="271"/>
  <c r="L53" i="271" s="1"/>
  <c r="K41" i="193"/>
  <c r="L41" i="193" s="1"/>
  <c r="K53" i="277"/>
  <c r="L53" i="277" s="1"/>
  <c r="K53" i="193"/>
  <c r="L53" i="193" s="1"/>
  <c r="K43" i="271"/>
  <c r="L43" i="271" s="1"/>
  <c r="K55" i="208"/>
  <c r="L55" i="208" s="1"/>
  <c r="K53" i="208"/>
  <c r="L53" i="208" s="1"/>
  <c r="K36" i="209"/>
  <c r="L36" i="209" s="1"/>
  <c r="K34" i="209"/>
  <c r="L34" i="209" s="1"/>
  <c r="K30" i="209"/>
  <c r="L30" i="209" s="1"/>
  <c r="L46" i="237"/>
  <c r="L2" i="237" s="1"/>
  <c r="J16" i="283" s="1"/>
  <c r="K22" i="274"/>
  <c r="L22" i="274" s="1"/>
  <c r="K57" i="193"/>
  <c r="L57" i="193" s="1"/>
  <c r="K50" i="242"/>
  <c r="L50" i="242" s="1"/>
  <c r="K22" i="280"/>
  <c r="L22" i="280" s="1"/>
  <c r="K55" i="271"/>
  <c r="L55" i="271" s="1"/>
  <c r="K20" i="196"/>
  <c r="L20" i="196" s="1"/>
  <c r="K55" i="277"/>
  <c r="L55" i="277" s="1"/>
  <c r="L27" i="241"/>
  <c r="K20" i="274"/>
  <c r="L20" i="274" s="1"/>
  <c r="K55" i="193"/>
  <c r="L55" i="193" s="1"/>
  <c r="K18" i="280"/>
  <c r="L18" i="280" s="1"/>
  <c r="K24" i="196"/>
  <c r="L24" i="196" s="1"/>
  <c r="K20" i="280"/>
  <c r="L20" i="280" s="1"/>
  <c r="K24" i="274"/>
  <c r="L24" i="274" s="1"/>
  <c r="K18" i="196"/>
  <c r="L18" i="196" s="1"/>
  <c r="K57" i="277"/>
  <c r="L57" i="277" s="1"/>
  <c r="K24" i="280"/>
  <c r="L24" i="280" s="1"/>
  <c r="K18" i="274"/>
  <c r="L18" i="274" s="1"/>
  <c r="K57" i="271"/>
  <c r="L57" i="271" s="1"/>
  <c r="K22" i="196"/>
  <c r="L22" i="196" s="1"/>
  <c r="K78" i="207"/>
  <c r="L78" i="207" s="1"/>
  <c r="L90" i="208"/>
  <c r="K28" i="238" a="1"/>
  <c r="K28" i="238" s="1"/>
  <c r="L28" i="238" s="1"/>
  <c r="L46" i="238" s="1"/>
  <c r="L2" i="238" s="1"/>
  <c r="J17" i="283" s="1"/>
  <c r="K25" i="242"/>
  <c r="L25" i="242" s="1"/>
  <c r="K17" i="242"/>
  <c r="L17" i="242" s="1"/>
  <c r="K76" i="246"/>
  <c r="L76" i="246" s="1"/>
  <c r="K33" i="193"/>
  <c r="L33" i="193" s="1"/>
  <c r="K27" i="242"/>
  <c r="L27" i="242" s="1"/>
  <c r="K33" i="271"/>
  <c r="L33" i="271" s="1"/>
  <c r="K17" i="241"/>
  <c r="L17" i="241" s="1"/>
  <c r="K33" i="277"/>
  <c r="L33" i="277" s="1"/>
  <c r="K29" i="242"/>
  <c r="L29" i="242" s="1"/>
  <c r="K15" i="241"/>
  <c r="L15" i="241" s="1"/>
  <c r="K26" i="209"/>
  <c r="L26" i="209" s="1"/>
  <c r="K41" i="208"/>
  <c r="L41" i="208" s="1"/>
  <c r="K24" i="209"/>
  <c r="L24" i="209" s="1"/>
  <c r="K39" i="208"/>
  <c r="L39" i="208" s="1"/>
  <c r="K42" i="212"/>
  <c r="L42" i="212" s="1"/>
  <c r="K22" i="209"/>
  <c r="L22" i="209" s="1"/>
  <c r="K37" i="208"/>
  <c r="L37" i="208" s="1"/>
  <c r="K27" i="208"/>
  <c r="L27" i="208" s="1"/>
  <c r="K25" i="208"/>
  <c r="L25" i="208" s="1"/>
  <c r="K43" i="208"/>
  <c r="L43" i="208" s="1"/>
  <c r="K45" i="208"/>
  <c r="L45" i="208" s="1"/>
  <c r="L60" i="209"/>
  <c r="L1" i="283"/>
  <c r="L67" i="274" l="1"/>
  <c r="L2" i="274" s="1"/>
  <c r="J49" i="283" s="1"/>
  <c r="L2" i="209"/>
  <c r="J19" i="283" s="1"/>
  <c r="L60" i="242"/>
  <c r="L2" i="242" s="1"/>
  <c r="J32" i="283" s="1"/>
  <c r="L62" i="277"/>
  <c r="L2" i="277" s="1"/>
  <c r="J52" i="283" s="1"/>
  <c r="L60" i="241"/>
  <c r="L2" i="241" s="1"/>
  <c r="J31" i="283" s="1"/>
  <c r="L64" i="212"/>
  <c r="L2" i="212" s="1"/>
  <c r="J22" i="283" s="1"/>
  <c r="L65" i="196"/>
  <c r="L2" i="196" s="1"/>
  <c r="J43" i="283" s="1"/>
  <c r="L61" i="271"/>
  <c r="L2" i="271" s="1"/>
  <c r="J46" i="283" s="1"/>
  <c r="L63" i="193"/>
  <c r="L2" i="193" s="1"/>
  <c r="J40" i="283" s="1"/>
  <c r="L116" i="246"/>
  <c r="L2" i="246" s="1"/>
  <c r="J35" i="283" s="1"/>
  <c r="L67" i="280"/>
  <c r="L2" i="280" s="1"/>
  <c r="J55" i="283" s="1"/>
  <c r="H27" i="235"/>
  <c r="F29" i="235" s="1"/>
  <c r="H28" i="235"/>
  <c r="C26" i="228"/>
  <c r="N14" i="285"/>
  <c r="F24" i="284" a="1"/>
  <c r="F24" i="284" s="1"/>
  <c r="F15" i="159" a="1"/>
  <c r="F15" i="159" s="1"/>
  <c r="C12" i="287"/>
  <c r="C12" i="286"/>
  <c r="I31" i="285"/>
  <c r="J31" i="285"/>
  <c r="L24" i="284"/>
  <c r="M24" i="284"/>
  <c r="J27" i="285"/>
  <c r="I27" i="285"/>
  <c r="J26" i="285"/>
  <c r="I26" i="285"/>
  <c r="J25" i="285"/>
  <c r="I25" i="285"/>
  <c r="J24" i="285"/>
  <c r="I24" i="285"/>
  <c r="J23" i="285"/>
  <c r="I23" i="285"/>
  <c r="J22" i="285"/>
  <c r="I22" i="285"/>
  <c r="J21" i="285"/>
  <c r="I21" i="285"/>
  <c r="J20" i="285"/>
  <c r="I20" i="285"/>
  <c r="J19" i="285"/>
  <c r="I19" i="285"/>
  <c r="J18" i="285"/>
  <c r="I18" i="285"/>
  <c r="J17" i="285"/>
  <c r="I17" i="285"/>
  <c r="J16" i="285"/>
  <c r="I16" i="285"/>
  <c r="J15" i="285"/>
  <c r="I15" i="285"/>
  <c r="J14" i="285"/>
  <c r="I14" i="285"/>
  <c r="B9" i="286"/>
  <c r="B2" i="287"/>
  <c r="B1" i="287"/>
  <c r="B9" i="287"/>
  <c r="B5" i="288"/>
  <c r="B2" i="288"/>
  <c r="B1" i="288"/>
  <c r="F1" i="288"/>
  <c r="F1" i="287"/>
  <c r="F1" i="286"/>
  <c r="B2" i="286"/>
  <c r="B1" i="286"/>
  <c r="B10" i="285"/>
  <c r="B3" i="285"/>
  <c r="B2" i="285"/>
  <c r="B1" i="284"/>
  <c r="F2" i="285"/>
  <c r="D8" i="288"/>
  <c r="N14" i="287"/>
  <c r="N14" i="286"/>
  <c r="C1" i="285"/>
  <c r="C27" i="228" l="1"/>
  <c r="C28" i="228"/>
  <c r="D12" i="287"/>
  <c r="D10" i="288"/>
  <c r="D9" i="288"/>
  <c r="B33" i="285" l="1" a="1"/>
  <c r="B33" i="285" s="1"/>
  <c r="B14" i="286"/>
  <c r="B14" i="287"/>
  <c r="C58" i="283" l="1"/>
  <c r="B58" i="283"/>
  <c r="H23" i="192"/>
  <c r="H24" i="192"/>
  <c r="H20" i="192"/>
  <c r="H21" i="192"/>
  <c r="F42" i="192" l="1"/>
  <c r="H42" i="192" s="1"/>
  <c r="M17" i="264"/>
  <c r="M15" i="264"/>
  <c r="C42" i="254"/>
  <c r="B42" i="254"/>
  <c r="B44" i="283"/>
  <c r="B41" i="254"/>
  <c r="B43" i="283" s="1"/>
  <c r="B39" i="254"/>
  <c r="B41" i="283" s="1"/>
  <c r="P23" i="284"/>
  <c r="O23" i="284"/>
  <c r="N23" i="284"/>
  <c r="M23" i="284"/>
  <c r="L23" i="284"/>
  <c r="E23" i="284"/>
  <c r="D23" i="284"/>
  <c r="C23" i="284"/>
  <c r="B23" i="284"/>
  <c r="P22" i="284"/>
  <c r="O22" i="284"/>
  <c r="N22" i="284"/>
  <c r="M22" i="284"/>
  <c r="L22" i="284"/>
  <c r="E22" i="284"/>
  <c r="D22" i="284"/>
  <c r="C22" i="284"/>
  <c r="B22" i="284"/>
  <c r="P21" i="284"/>
  <c r="O21" i="284"/>
  <c r="N21" i="284"/>
  <c r="M21" i="284"/>
  <c r="L21" i="284"/>
  <c r="E21" i="284"/>
  <c r="D21" i="284"/>
  <c r="C21" i="284"/>
  <c r="B21" i="284"/>
  <c r="P20" i="284"/>
  <c r="O20" i="284"/>
  <c r="N20" i="284"/>
  <c r="M20" i="284"/>
  <c r="L20" i="284"/>
  <c r="E20" i="284"/>
  <c r="D20" i="284"/>
  <c r="C20" i="284"/>
  <c r="B20" i="284"/>
  <c r="P19" i="284"/>
  <c r="O19" i="284"/>
  <c r="N19" i="284"/>
  <c r="M19" i="284"/>
  <c r="L19" i="284"/>
  <c r="E19" i="284"/>
  <c r="D19" i="284"/>
  <c r="C19" i="284"/>
  <c r="B19" i="284"/>
  <c r="P18" i="284"/>
  <c r="O18" i="284"/>
  <c r="N18" i="284"/>
  <c r="M18" i="284"/>
  <c r="L18" i="284"/>
  <c r="E18" i="284"/>
  <c r="D18" i="284"/>
  <c r="C18" i="284"/>
  <c r="B18" i="284"/>
  <c r="P17" i="284"/>
  <c r="O17" i="284"/>
  <c r="N17" i="284"/>
  <c r="M17" i="284"/>
  <c r="L17" i="284"/>
  <c r="E17" i="284"/>
  <c r="D17" i="284"/>
  <c r="C17" i="284"/>
  <c r="B17" i="284"/>
  <c r="P16" i="284"/>
  <c r="O16" i="284"/>
  <c r="N16" i="284"/>
  <c r="M16" i="284"/>
  <c r="L16" i="284"/>
  <c r="E16" i="284"/>
  <c r="D16" i="284"/>
  <c r="C16" i="284"/>
  <c r="B16" i="284"/>
  <c r="P15" i="284"/>
  <c r="O15" i="284"/>
  <c r="N15" i="284"/>
  <c r="M15" i="284"/>
  <c r="L15" i="284"/>
  <c r="E15" i="284"/>
  <c r="D15" i="284"/>
  <c r="C15" i="284"/>
  <c r="B15" i="284"/>
  <c r="P14" i="284"/>
  <c r="O14" i="284"/>
  <c r="N14" i="284"/>
  <c r="M14" i="284"/>
  <c r="L14" i="284"/>
  <c r="E14" i="284"/>
  <c r="D14" i="284"/>
  <c r="C14" i="284"/>
  <c r="B14" i="284"/>
  <c r="P13" i="284"/>
  <c r="O13" i="284"/>
  <c r="N13" i="284"/>
  <c r="M13" i="284"/>
  <c r="L13" i="284"/>
  <c r="E13" i="284"/>
  <c r="D13" i="284"/>
  <c r="C13" i="284"/>
  <c r="B13" i="284"/>
  <c r="P12" i="284"/>
  <c r="O12" i="284"/>
  <c r="N12" i="284"/>
  <c r="M12" i="284"/>
  <c r="L12" i="284"/>
  <c r="E12" i="284"/>
  <c r="D12" i="284"/>
  <c r="C12" i="284"/>
  <c r="B12" i="284"/>
  <c r="P11" i="284"/>
  <c r="O11" i="284"/>
  <c r="N11" i="284"/>
  <c r="M11" i="284"/>
  <c r="L11" i="284"/>
  <c r="E11" i="284"/>
  <c r="D11" i="284"/>
  <c r="C11" i="284"/>
  <c r="B11" i="284"/>
  <c r="P10" i="284"/>
  <c r="O10" i="284"/>
  <c r="N10" i="284"/>
  <c r="M10" i="284"/>
  <c r="L10" i="284"/>
  <c r="E10" i="284"/>
  <c r="D10" i="284"/>
  <c r="C10" i="284"/>
  <c r="B10" i="284"/>
  <c r="N9" i="284"/>
  <c r="C9" i="284"/>
  <c r="B9" i="284"/>
  <c r="B4" i="284"/>
  <c r="B2" i="284"/>
  <c r="F1" i="284"/>
  <c r="F83" i="262"/>
  <c r="F77" i="262"/>
  <c r="F71" i="262"/>
  <c r="F65" i="262"/>
  <c r="H60" i="260"/>
  <c r="F53" i="260"/>
  <c r="F47" i="260"/>
  <c r="F39" i="260"/>
  <c r="F33" i="260"/>
  <c r="F27" i="260"/>
  <c r="F21" i="260"/>
  <c r="C44" i="283"/>
  <c r="B40" i="283"/>
  <c r="R60" i="283"/>
  <c r="F27" i="262" s="1"/>
  <c r="Q60" i="283"/>
  <c r="F25" i="262" s="1"/>
  <c r="P60" i="283"/>
  <c r="F23" i="262" s="1"/>
  <c r="O60" i="283"/>
  <c r="F21" i="262" s="1"/>
  <c r="N60" i="283"/>
  <c r="F19" i="262" s="1"/>
  <c r="M60" i="283"/>
  <c r="K59" i="283"/>
  <c r="L10" i="254"/>
  <c r="M10" i="254"/>
  <c r="L11" i="254"/>
  <c r="M11" i="254"/>
  <c r="L12" i="254"/>
  <c r="M12" i="254"/>
  <c r="L13" i="254"/>
  <c r="M13" i="254"/>
  <c r="L14" i="254"/>
  <c r="M14" i="254"/>
  <c r="L15" i="254"/>
  <c r="M15" i="254"/>
  <c r="L16" i="254"/>
  <c r="M16" i="254"/>
  <c r="L70" i="254"/>
  <c r="M70" i="254"/>
  <c r="L71" i="254"/>
  <c r="M71" i="254"/>
  <c r="L72" i="254"/>
  <c r="M72" i="254"/>
  <c r="L73" i="254"/>
  <c r="M73" i="254"/>
  <c r="L74" i="254"/>
  <c r="M74" i="254"/>
  <c r="L75" i="254"/>
  <c r="M75" i="254"/>
  <c r="L76" i="254"/>
  <c r="M76" i="254"/>
  <c r="L77" i="254"/>
  <c r="M77" i="254"/>
  <c r="L78" i="254"/>
  <c r="M78" i="254"/>
  <c r="L79" i="254"/>
  <c r="M79" i="254"/>
  <c r="L80" i="254"/>
  <c r="M80" i="254"/>
  <c r="L81" i="254"/>
  <c r="M81" i="254"/>
  <c r="L82" i="254"/>
  <c r="M82" i="254"/>
  <c r="L83" i="254"/>
  <c r="M83" i="254"/>
  <c r="L84" i="254"/>
  <c r="M84" i="254"/>
  <c r="L85" i="254"/>
  <c r="M85" i="254"/>
  <c r="L86" i="254"/>
  <c r="M86" i="254"/>
  <c r="L87" i="254"/>
  <c r="M87" i="254"/>
  <c r="N87" i="254"/>
  <c r="N86" i="254"/>
  <c r="N85" i="254"/>
  <c r="N84" i="254"/>
  <c r="N83" i="254"/>
  <c r="N82" i="254"/>
  <c r="N81" i="254"/>
  <c r="N80" i="254"/>
  <c r="N79" i="254"/>
  <c r="N78" i="254"/>
  <c r="N77" i="254"/>
  <c r="N76" i="254"/>
  <c r="N75" i="254"/>
  <c r="N74" i="254"/>
  <c r="N73" i="254"/>
  <c r="N72" i="254"/>
  <c r="N71" i="254"/>
  <c r="N70" i="254"/>
  <c r="C44" i="254"/>
  <c r="C46" i="283" s="1"/>
  <c r="C45" i="254"/>
  <c r="C47" i="283" s="1"/>
  <c r="C46" i="254"/>
  <c r="C48" i="283" s="1"/>
  <c r="C47" i="254"/>
  <c r="C49" i="283" s="1"/>
  <c r="C48" i="254"/>
  <c r="C50" i="283" s="1"/>
  <c r="C49" i="254"/>
  <c r="C51" i="283" s="1"/>
  <c r="C50" i="254"/>
  <c r="C52" i="283" s="1"/>
  <c r="C51" i="254"/>
  <c r="C53" i="283" s="1"/>
  <c r="C52" i="254"/>
  <c r="C54" i="283" s="1"/>
  <c r="C53" i="254"/>
  <c r="C55" i="283" s="1"/>
  <c r="C54" i="254"/>
  <c r="C56" i="283" s="1"/>
  <c r="C55" i="254"/>
  <c r="C57" i="283" s="1"/>
  <c r="B55" i="254"/>
  <c r="B57" i="283" s="1"/>
  <c r="B54" i="254"/>
  <c r="B56" i="283" s="1"/>
  <c r="B53" i="254"/>
  <c r="B55" i="283" s="1"/>
  <c r="B52" i="254"/>
  <c r="B54" i="283" s="1"/>
  <c r="B51" i="254"/>
  <c r="B53" i="283" s="1"/>
  <c r="B50" i="254"/>
  <c r="B52" i="283" s="1"/>
  <c r="B49" i="254"/>
  <c r="B51" i="283" s="1"/>
  <c r="B48" i="254"/>
  <c r="B50" i="283" s="1"/>
  <c r="B47" i="254"/>
  <c r="B49" i="283" s="1"/>
  <c r="B46" i="254"/>
  <c r="B48" i="283" s="1"/>
  <c r="B45" i="254"/>
  <c r="B47" i="283" s="1"/>
  <c r="B44" i="254"/>
  <c r="B46" i="283" s="1"/>
  <c r="B38" i="254"/>
  <c r="L17" i="254"/>
  <c r="M17" i="254"/>
  <c r="L18" i="254"/>
  <c r="M18" i="254"/>
  <c r="L19" i="254"/>
  <c r="M19" i="254"/>
  <c r="L20" i="254"/>
  <c r="M20" i="254"/>
  <c r="L21" i="254"/>
  <c r="M21" i="254"/>
  <c r="L22" i="254"/>
  <c r="M22" i="254"/>
  <c r="L23" i="254"/>
  <c r="M23" i="254"/>
  <c r="L24" i="254"/>
  <c r="M24" i="254"/>
  <c r="L25" i="254"/>
  <c r="M25" i="254"/>
  <c r="L26" i="254"/>
  <c r="M26" i="254"/>
  <c r="L27" i="254"/>
  <c r="M27" i="254"/>
  <c r="L28" i="254"/>
  <c r="M28" i="254"/>
  <c r="L29" i="254"/>
  <c r="M29" i="254"/>
  <c r="L30" i="254"/>
  <c r="M30" i="254"/>
  <c r="L31" i="254"/>
  <c r="M31" i="254"/>
  <c r="L32" i="254"/>
  <c r="M32" i="254"/>
  <c r="L33" i="254"/>
  <c r="M33" i="254"/>
  <c r="L34" i="254"/>
  <c r="M34" i="254"/>
  <c r="L35" i="254"/>
  <c r="M35" i="254"/>
  <c r="L36" i="254"/>
  <c r="M36" i="254"/>
  <c r="L37" i="254"/>
  <c r="M37" i="254"/>
  <c r="P37" i="254"/>
  <c r="O37" i="254"/>
  <c r="N37" i="254"/>
  <c r="P36" i="254"/>
  <c r="O36" i="254"/>
  <c r="N36" i="254"/>
  <c r="P35" i="254"/>
  <c r="O35" i="254"/>
  <c r="N35" i="254"/>
  <c r="P34" i="254"/>
  <c r="O34" i="254"/>
  <c r="N34" i="254"/>
  <c r="P33" i="254"/>
  <c r="O33" i="254"/>
  <c r="N33" i="254"/>
  <c r="P32" i="254"/>
  <c r="O32" i="254"/>
  <c r="N32" i="254"/>
  <c r="P31" i="254"/>
  <c r="O31" i="254"/>
  <c r="N31" i="254"/>
  <c r="P30" i="254"/>
  <c r="O30" i="254"/>
  <c r="N30" i="254"/>
  <c r="P29" i="254"/>
  <c r="O29" i="254"/>
  <c r="N29" i="254"/>
  <c r="P28" i="254"/>
  <c r="O28" i="254"/>
  <c r="N28" i="254"/>
  <c r="P27" i="254"/>
  <c r="O27" i="254"/>
  <c r="N27" i="254"/>
  <c r="P26" i="254"/>
  <c r="O26" i="254"/>
  <c r="N26" i="254"/>
  <c r="P25" i="254"/>
  <c r="O25" i="254"/>
  <c r="N25" i="254"/>
  <c r="P24" i="254"/>
  <c r="O24" i="254"/>
  <c r="N24" i="254"/>
  <c r="P23" i="254"/>
  <c r="O23" i="254"/>
  <c r="N23" i="254"/>
  <c r="P22" i="254"/>
  <c r="O22" i="254"/>
  <c r="N22" i="254"/>
  <c r="P21" i="254"/>
  <c r="O21" i="254"/>
  <c r="N21" i="254"/>
  <c r="P20" i="254"/>
  <c r="O20" i="254"/>
  <c r="N20" i="254"/>
  <c r="P19" i="254"/>
  <c r="O19" i="254"/>
  <c r="N19" i="254"/>
  <c r="P18" i="254"/>
  <c r="O18" i="254"/>
  <c r="N18" i="254"/>
  <c r="P17" i="254"/>
  <c r="O17" i="254"/>
  <c r="N17" i="254"/>
  <c r="P16" i="254"/>
  <c r="O16" i="254"/>
  <c r="N16" i="254"/>
  <c r="P15" i="254"/>
  <c r="O15" i="254"/>
  <c r="N15" i="254"/>
  <c r="P14" i="254"/>
  <c r="O14" i="254"/>
  <c r="N14" i="254"/>
  <c r="P13" i="254"/>
  <c r="O13" i="254"/>
  <c r="N13" i="254"/>
  <c r="P12" i="254"/>
  <c r="O12" i="254"/>
  <c r="N12" i="254"/>
  <c r="P11" i="254"/>
  <c r="O11" i="254"/>
  <c r="N11" i="254"/>
  <c r="P10" i="254"/>
  <c r="O10" i="254"/>
  <c r="N10" i="254"/>
  <c r="N9" i="254"/>
  <c r="C9" i="254"/>
  <c r="C8" i="283" s="1"/>
  <c r="B44" i="282"/>
  <c r="H43" i="282"/>
  <c r="H41" i="282"/>
  <c r="H40" i="282"/>
  <c r="H39" i="282"/>
  <c r="H37" i="282"/>
  <c r="H36" i="282"/>
  <c r="H35" i="282"/>
  <c r="H33" i="282"/>
  <c r="H32" i="282"/>
  <c r="H31" i="282"/>
  <c r="H30" i="282"/>
  <c r="H29" i="282"/>
  <c r="H28" i="282"/>
  <c r="H27" i="282"/>
  <c r="H26" i="282"/>
  <c r="H25" i="282"/>
  <c r="H24" i="282"/>
  <c r="H23" i="282"/>
  <c r="H22" i="282"/>
  <c r="H21" i="282"/>
  <c r="H20" i="282"/>
  <c r="H19" i="282"/>
  <c r="H18" i="282"/>
  <c r="H17" i="282"/>
  <c r="H16" i="282"/>
  <c r="H15" i="282"/>
  <c r="H14" i="282"/>
  <c r="H13" i="282"/>
  <c r="H12" i="282"/>
  <c r="H11" i="282"/>
  <c r="B6" i="282"/>
  <c r="H5" i="282"/>
  <c r="B3" i="282"/>
  <c r="F2" i="282"/>
  <c r="B2" i="282"/>
  <c r="B55" i="281"/>
  <c r="H23" i="281"/>
  <c r="H22" i="281"/>
  <c r="H21" i="281"/>
  <c r="H20" i="281"/>
  <c r="H19" i="281"/>
  <c r="H18" i="281"/>
  <c r="H17" i="281"/>
  <c r="H16" i="281"/>
  <c r="H15" i="281"/>
  <c r="H14" i="281"/>
  <c r="H13" i="281"/>
  <c r="H12" i="281"/>
  <c r="H11" i="281"/>
  <c r="B6" i="281"/>
  <c r="H5" i="281"/>
  <c r="B3" i="281"/>
  <c r="F2" i="281"/>
  <c r="B2" i="281"/>
  <c r="B67" i="280"/>
  <c r="H65" i="280"/>
  <c r="H25" i="280"/>
  <c r="H24" i="280"/>
  <c r="H23" i="280"/>
  <c r="H22" i="280"/>
  <c r="H21" i="280"/>
  <c r="H20" i="280"/>
  <c r="H19" i="280"/>
  <c r="H18" i="280"/>
  <c r="H17" i="280"/>
  <c r="H16" i="280"/>
  <c r="H15" i="280"/>
  <c r="H14" i="280"/>
  <c r="H13" i="280"/>
  <c r="H12" i="280"/>
  <c r="H11" i="280"/>
  <c r="B6" i="280"/>
  <c r="H5" i="280"/>
  <c r="B3" i="280"/>
  <c r="F2" i="280"/>
  <c r="B2" i="280"/>
  <c r="B75" i="279"/>
  <c r="H74" i="279"/>
  <c r="H73" i="279"/>
  <c r="H72" i="279"/>
  <c r="H71" i="279"/>
  <c r="H69" i="279"/>
  <c r="H68" i="279"/>
  <c r="H67" i="279"/>
  <c r="H66" i="279"/>
  <c r="H65" i="279"/>
  <c r="H64" i="279"/>
  <c r="H63" i="279"/>
  <c r="H62" i="279"/>
  <c r="H61" i="279"/>
  <c r="H60" i="279"/>
  <c r="H59" i="279"/>
  <c r="H58" i="279"/>
  <c r="H57" i="279"/>
  <c r="H56" i="279"/>
  <c r="H55" i="279"/>
  <c r="H54" i="279"/>
  <c r="H53" i="279"/>
  <c r="H52" i="279"/>
  <c r="H51" i="279"/>
  <c r="H50" i="279"/>
  <c r="H49" i="279"/>
  <c r="H48" i="279"/>
  <c r="H47" i="279"/>
  <c r="H46" i="279"/>
  <c r="H45" i="279"/>
  <c r="H44" i="279"/>
  <c r="H43" i="279"/>
  <c r="H42" i="279"/>
  <c r="H41" i="279"/>
  <c r="H40" i="279"/>
  <c r="H39" i="279"/>
  <c r="H38" i="279"/>
  <c r="H37" i="279"/>
  <c r="H36" i="279"/>
  <c r="H35" i="279"/>
  <c r="H32" i="279"/>
  <c r="H31" i="279"/>
  <c r="H30" i="279"/>
  <c r="H29" i="279"/>
  <c r="H28" i="279"/>
  <c r="H27" i="279"/>
  <c r="H26" i="279"/>
  <c r="H25" i="279"/>
  <c r="H24" i="279"/>
  <c r="H23" i="279"/>
  <c r="H22" i="279"/>
  <c r="H21" i="279"/>
  <c r="H20" i="279"/>
  <c r="H19" i="279"/>
  <c r="H18" i="279"/>
  <c r="H17" i="279"/>
  <c r="H16" i="279"/>
  <c r="H15" i="279"/>
  <c r="H14" i="279"/>
  <c r="H13" i="279"/>
  <c r="H12" i="279"/>
  <c r="H10" i="279"/>
  <c r="B6" i="279"/>
  <c r="H5" i="279"/>
  <c r="B3" i="279"/>
  <c r="F2" i="279"/>
  <c r="B2" i="279"/>
  <c r="B74" i="278"/>
  <c r="H73" i="278"/>
  <c r="H72" i="278"/>
  <c r="H71" i="278"/>
  <c r="H70" i="278"/>
  <c r="H69" i="278"/>
  <c r="H68" i="278"/>
  <c r="H67" i="278"/>
  <c r="H66" i="278"/>
  <c r="H65" i="278"/>
  <c r="H64" i="278"/>
  <c r="H63" i="278"/>
  <c r="H62" i="278"/>
  <c r="H61" i="278"/>
  <c r="H60" i="278"/>
  <c r="H59" i="278"/>
  <c r="H58" i="278"/>
  <c r="H57" i="278"/>
  <c r="H56" i="278"/>
  <c r="H55" i="278"/>
  <c r="H54" i="278"/>
  <c r="H53" i="278"/>
  <c r="H52" i="278"/>
  <c r="H51" i="278"/>
  <c r="H50" i="278"/>
  <c r="H49" i="278"/>
  <c r="H48" i="278"/>
  <c r="H47" i="278"/>
  <c r="H46" i="278"/>
  <c r="H45" i="278"/>
  <c r="H44" i="278"/>
  <c r="H43" i="278"/>
  <c r="H42" i="278"/>
  <c r="H41" i="278"/>
  <c r="H40" i="278"/>
  <c r="H39" i="278"/>
  <c r="H38" i="278"/>
  <c r="H37" i="278"/>
  <c r="H36" i="278"/>
  <c r="H35" i="278"/>
  <c r="H34" i="278"/>
  <c r="H33" i="278"/>
  <c r="H32" i="278"/>
  <c r="H31" i="278"/>
  <c r="H30" i="278"/>
  <c r="H29" i="278"/>
  <c r="H28" i="278"/>
  <c r="H27" i="278"/>
  <c r="H26" i="278"/>
  <c r="H25" i="278"/>
  <c r="H24" i="278"/>
  <c r="H23" i="278"/>
  <c r="H22" i="278"/>
  <c r="H21" i="278"/>
  <c r="H20" i="278"/>
  <c r="H19" i="278"/>
  <c r="H18" i="278"/>
  <c r="H17" i="278"/>
  <c r="H16" i="278"/>
  <c r="H15" i="278"/>
  <c r="H14" i="278"/>
  <c r="H13" i="278"/>
  <c r="H12" i="278"/>
  <c r="H10" i="278"/>
  <c r="B6" i="278"/>
  <c r="H5" i="278"/>
  <c r="B3" i="278"/>
  <c r="F2" i="278"/>
  <c r="B2" i="278"/>
  <c r="B62" i="277"/>
  <c r="H61" i="277"/>
  <c r="H60" i="277"/>
  <c r="H59" i="277"/>
  <c r="H57" i="277"/>
  <c r="H55" i="277"/>
  <c r="H53" i="277"/>
  <c r="H52" i="277"/>
  <c r="H51" i="277"/>
  <c r="H49" i="277"/>
  <c r="H48" i="277"/>
  <c r="H47" i="277"/>
  <c r="H46" i="277"/>
  <c r="H45" i="277"/>
  <c r="H44" i="277"/>
  <c r="H43" i="277"/>
  <c r="H42" i="277"/>
  <c r="H41" i="277"/>
  <c r="H40" i="277"/>
  <c r="H39" i="277"/>
  <c r="H38" i="277"/>
  <c r="H37" i="277"/>
  <c r="H36" i="277"/>
  <c r="H35" i="277"/>
  <c r="H34" i="277"/>
  <c r="H33" i="277"/>
  <c r="H32" i="277"/>
  <c r="H31" i="277"/>
  <c r="H30" i="277"/>
  <c r="H29" i="277"/>
  <c r="H27" i="277"/>
  <c r="H26" i="277"/>
  <c r="H25" i="277"/>
  <c r="H24" i="277"/>
  <c r="H23" i="277"/>
  <c r="H22" i="277"/>
  <c r="H21" i="277"/>
  <c r="H20" i="277"/>
  <c r="H19" i="277"/>
  <c r="H18" i="277"/>
  <c r="H17" i="277"/>
  <c r="H16" i="277"/>
  <c r="H15" i="277"/>
  <c r="H14" i="277"/>
  <c r="H13" i="277"/>
  <c r="H12" i="277"/>
  <c r="H10" i="277"/>
  <c r="B6" i="277"/>
  <c r="H5" i="277"/>
  <c r="B3" i="277"/>
  <c r="F2" i="277"/>
  <c r="B2" i="277"/>
  <c r="B44" i="276"/>
  <c r="H43" i="276"/>
  <c r="H41" i="276"/>
  <c r="H40" i="276"/>
  <c r="H39" i="276"/>
  <c r="H37" i="276"/>
  <c r="H36" i="276"/>
  <c r="H35" i="276"/>
  <c r="H33" i="276"/>
  <c r="H32" i="276"/>
  <c r="H31" i="276"/>
  <c r="H30" i="276"/>
  <c r="H29" i="276"/>
  <c r="H28" i="276"/>
  <c r="H27" i="276"/>
  <c r="H26" i="276"/>
  <c r="H25" i="276"/>
  <c r="H24" i="276"/>
  <c r="H23" i="276"/>
  <c r="H22" i="276"/>
  <c r="H21" i="276"/>
  <c r="H20" i="276"/>
  <c r="H19" i="276"/>
  <c r="H18" i="276"/>
  <c r="H17" i="276"/>
  <c r="H16" i="276"/>
  <c r="H15" i="276"/>
  <c r="H14" i="276"/>
  <c r="H13" i="276"/>
  <c r="H12" i="276"/>
  <c r="H11" i="276"/>
  <c r="B6" i="276"/>
  <c r="H5" i="276"/>
  <c r="B3" i="276"/>
  <c r="F2" i="276"/>
  <c r="B2" i="276"/>
  <c r="B55" i="275"/>
  <c r="H23" i="275"/>
  <c r="H22" i="275"/>
  <c r="H21" i="275"/>
  <c r="H20" i="275"/>
  <c r="H19" i="275"/>
  <c r="H18" i="275"/>
  <c r="H17" i="275"/>
  <c r="H16" i="275"/>
  <c r="H15" i="275"/>
  <c r="H14" i="275"/>
  <c r="H13" i="275"/>
  <c r="H12" i="275"/>
  <c r="H11" i="275"/>
  <c r="B6" i="275"/>
  <c r="H5" i="275"/>
  <c r="B3" i="275"/>
  <c r="F2" i="275"/>
  <c r="B2" i="275"/>
  <c r="B67" i="274"/>
  <c r="H65" i="274"/>
  <c r="H25" i="274"/>
  <c r="H24" i="274"/>
  <c r="H23" i="274"/>
  <c r="H22" i="274"/>
  <c r="H21" i="274"/>
  <c r="H20" i="274"/>
  <c r="H19" i="274"/>
  <c r="H18" i="274"/>
  <c r="H17" i="274"/>
  <c r="H16" i="274"/>
  <c r="H15" i="274"/>
  <c r="H14" i="274"/>
  <c r="H13" i="274"/>
  <c r="H12" i="274"/>
  <c r="H11" i="274"/>
  <c r="B6" i="274"/>
  <c r="H5" i="274"/>
  <c r="B3" i="274"/>
  <c r="F2" i="274"/>
  <c r="B2" i="274"/>
  <c r="B75" i="273"/>
  <c r="H74" i="273"/>
  <c r="H73" i="273"/>
  <c r="H72" i="273"/>
  <c r="H71" i="273"/>
  <c r="H69" i="273"/>
  <c r="H68" i="273"/>
  <c r="H67" i="273"/>
  <c r="H66" i="273"/>
  <c r="H65" i="273"/>
  <c r="H64" i="273"/>
  <c r="H63" i="273"/>
  <c r="H62" i="273"/>
  <c r="H61" i="273"/>
  <c r="H60" i="273"/>
  <c r="H59" i="273"/>
  <c r="H58" i="273"/>
  <c r="H57" i="273"/>
  <c r="H56" i="273"/>
  <c r="H55" i="273"/>
  <c r="H54" i="273"/>
  <c r="H53" i="273"/>
  <c r="H52" i="273"/>
  <c r="H51" i="273"/>
  <c r="H50" i="273"/>
  <c r="H49" i="273"/>
  <c r="H48" i="273"/>
  <c r="H47" i="273"/>
  <c r="H46" i="273"/>
  <c r="H45" i="273"/>
  <c r="H44" i="273"/>
  <c r="H43" i="273"/>
  <c r="H42" i="273"/>
  <c r="H41" i="273"/>
  <c r="H40" i="273"/>
  <c r="H39" i="273"/>
  <c r="H38" i="273"/>
  <c r="H37" i="273"/>
  <c r="H36" i="273"/>
  <c r="H35" i="273"/>
  <c r="H32" i="273"/>
  <c r="H31" i="273"/>
  <c r="H30" i="273"/>
  <c r="H29" i="273"/>
  <c r="H28" i="273"/>
  <c r="H27" i="273"/>
  <c r="H26" i="273"/>
  <c r="H25" i="273"/>
  <c r="H24" i="273"/>
  <c r="H23" i="273"/>
  <c r="H22" i="273"/>
  <c r="H21" i="273"/>
  <c r="H20" i="273"/>
  <c r="H19" i="273"/>
  <c r="H18" i="273"/>
  <c r="H17" i="273"/>
  <c r="H16" i="273"/>
  <c r="H15" i="273"/>
  <c r="H14" i="273"/>
  <c r="H13" i="273"/>
  <c r="H12" i="273"/>
  <c r="H10" i="273"/>
  <c r="B6" i="273"/>
  <c r="H5" i="273"/>
  <c r="B3" i="273"/>
  <c r="F2" i="273"/>
  <c r="B2" i="273"/>
  <c r="B74" i="272"/>
  <c r="H73" i="272"/>
  <c r="H72" i="272"/>
  <c r="H71" i="272"/>
  <c r="H70" i="272"/>
  <c r="H69" i="272"/>
  <c r="H68" i="272"/>
  <c r="H67" i="272"/>
  <c r="H66" i="272"/>
  <c r="H65" i="272"/>
  <c r="H64" i="272"/>
  <c r="H63" i="272"/>
  <c r="H62" i="272"/>
  <c r="H61" i="272"/>
  <c r="H60" i="272"/>
  <c r="H59" i="272"/>
  <c r="H58" i="272"/>
  <c r="H57" i="272"/>
  <c r="H56" i="272"/>
  <c r="H55" i="272"/>
  <c r="H54" i="272"/>
  <c r="H53" i="272"/>
  <c r="H52" i="272"/>
  <c r="H51" i="272"/>
  <c r="H50" i="272"/>
  <c r="H49" i="272"/>
  <c r="H48" i="272"/>
  <c r="H47" i="272"/>
  <c r="H46" i="272"/>
  <c r="H45" i="272"/>
  <c r="H44" i="272"/>
  <c r="H43" i="272"/>
  <c r="H42" i="272"/>
  <c r="H41" i="272"/>
  <c r="H40" i="272"/>
  <c r="H39" i="272"/>
  <c r="H38" i="272"/>
  <c r="H37" i="272"/>
  <c r="H36" i="272"/>
  <c r="H35" i="272"/>
  <c r="H34" i="272"/>
  <c r="H33" i="272"/>
  <c r="H32" i="272"/>
  <c r="H31" i="272"/>
  <c r="H30" i="272"/>
  <c r="H29" i="272"/>
  <c r="H28" i="272"/>
  <c r="H27" i="272"/>
  <c r="H26" i="272"/>
  <c r="H25" i="272"/>
  <c r="H24" i="272"/>
  <c r="H23" i="272"/>
  <c r="H22" i="272"/>
  <c r="H21" i="272"/>
  <c r="H20" i="272"/>
  <c r="H19" i="272"/>
  <c r="H18" i="272"/>
  <c r="H17" i="272"/>
  <c r="H16" i="272"/>
  <c r="H15" i="272"/>
  <c r="H14" i="272"/>
  <c r="H13" i="272"/>
  <c r="H12" i="272"/>
  <c r="H10" i="272"/>
  <c r="B6" i="272"/>
  <c r="H5" i="272"/>
  <c r="B3" i="272"/>
  <c r="F2" i="272"/>
  <c r="B2" i="272"/>
  <c r="B61" i="271"/>
  <c r="H60" i="271"/>
  <c r="H59" i="271"/>
  <c r="H58" i="271"/>
  <c r="H57" i="271"/>
  <c r="H55" i="271"/>
  <c r="H53" i="271"/>
  <c r="H52" i="271"/>
  <c r="H51" i="271"/>
  <c r="H49" i="271"/>
  <c r="H48" i="271"/>
  <c r="H47" i="271"/>
  <c r="H46" i="271"/>
  <c r="H45" i="271"/>
  <c r="H44" i="271"/>
  <c r="H43" i="271"/>
  <c r="H42" i="271"/>
  <c r="H41" i="271"/>
  <c r="H40" i="271"/>
  <c r="H39" i="271"/>
  <c r="H38" i="271"/>
  <c r="H37" i="271"/>
  <c r="H36" i="271"/>
  <c r="H35" i="271"/>
  <c r="H34" i="271"/>
  <c r="H33" i="271"/>
  <c r="H32" i="271"/>
  <c r="H31" i="271"/>
  <c r="H30" i="271"/>
  <c r="H29" i="271"/>
  <c r="H27" i="271"/>
  <c r="H26" i="271"/>
  <c r="H25" i="271"/>
  <c r="H24" i="271"/>
  <c r="H23" i="271"/>
  <c r="H22" i="271"/>
  <c r="H21" i="271"/>
  <c r="H20" i="271"/>
  <c r="H19" i="271"/>
  <c r="H18" i="271"/>
  <c r="H17" i="271"/>
  <c r="H16" i="271"/>
  <c r="H15" i="271"/>
  <c r="H14" i="271"/>
  <c r="H13" i="271"/>
  <c r="H12" i="271"/>
  <c r="H10" i="271"/>
  <c r="B6" i="271"/>
  <c r="H5" i="271"/>
  <c r="B3" i="271"/>
  <c r="F2" i="271"/>
  <c r="B2" i="271"/>
  <c r="H41" i="200"/>
  <c r="H40" i="200"/>
  <c r="H39" i="200"/>
  <c r="H14" i="269"/>
  <c r="H15" i="269"/>
  <c r="H16" i="269"/>
  <c r="H17" i="269"/>
  <c r="H18" i="269"/>
  <c r="H19" i="269"/>
  <c r="H20" i="269"/>
  <c r="H21" i="269"/>
  <c r="H22" i="269"/>
  <c r="H23" i="269"/>
  <c r="H13" i="269"/>
  <c r="B55" i="269"/>
  <c r="H12" i="269"/>
  <c r="H11" i="269"/>
  <c r="B6" i="269"/>
  <c r="H5" i="269"/>
  <c r="B3" i="269"/>
  <c r="F2" i="269"/>
  <c r="B2" i="269"/>
  <c r="H16" i="196"/>
  <c r="H17" i="196"/>
  <c r="H18" i="196"/>
  <c r="H19" i="196"/>
  <c r="H20" i="196"/>
  <c r="H21" i="196"/>
  <c r="H22" i="196"/>
  <c r="H23" i="196"/>
  <c r="H24" i="196"/>
  <c r="H25" i="196"/>
  <c r="H19" i="195"/>
  <c r="H20" i="195"/>
  <c r="H21" i="195"/>
  <c r="H22" i="195"/>
  <c r="H23" i="195"/>
  <c r="H24" i="195"/>
  <c r="H25" i="195"/>
  <c r="H26" i="195"/>
  <c r="H27" i="195"/>
  <c r="H28" i="195"/>
  <c r="H29" i="195"/>
  <c r="H30" i="195"/>
  <c r="H31" i="195"/>
  <c r="H32" i="195"/>
  <c r="H35" i="194"/>
  <c r="H36" i="194"/>
  <c r="H37" i="194"/>
  <c r="H38" i="194"/>
  <c r="H39" i="194"/>
  <c r="H40" i="194"/>
  <c r="H41" i="194"/>
  <c r="H42" i="194"/>
  <c r="H43" i="194"/>
  <c r="H44" i="194"/>
  <c r="H45" i="194"/>
  <c r="H46" i="194"/>
  <c r="H47" i="194"/>
  <c r="H48" i="194"/>
  <c r="H49" i="194"/>
  <c r="H50" i="194"/>
  <c r="H51" i="194"/>
  <c r="H13" i="194"/>
  <c r="H14" i="194"/>
  <c r="H15" i="194"/>
  <c r="H16" i="194"/>
  <c r="H17" i="194"/>
  <c r="H18" i="194"/>
  <c r="H19" i="194"/>
  <c r="H20" i="194"/>
  <c r="H21" i="194"/>
  <c r="H22" i="194"/>
  <c r="H23" i="194"/>
  <c r="H24" i="194"/>
  <c r="H25" i="194"/>
  <c r="H26" i="194"/>
  <c r="H27" i="194"/>
  <c r="H28" i="194"/>
  <c r="H29" i="194"/>
  <c r="H30" i="194"/>
  <c r="H31" i="194"/>
  <c r="H32" i="194"/>
  <c r="H33" i="194"/>
  <c r="H57" i="193"/>
  <c r="H55" i="193"/>
  <c r="H53" i="193"/>
  <c r="H52" i="193"/>
  <c r="H51" i="193"/>
  <c r="H49" i="193"/>
  <c r="H48" i="193"/>
  <c r="H47" i="193"/>
  <c r="H46" i="193"/>
  <c r="H45" i="193"/>
  <c r="H44" i="193"/>
  <c r="H43" i="193"/>
  <c r="H42" i="193"/>
  <c r="H41" i="193"/>
  <c r="H40" i="193"/>
  <c r="H39" i="193"/>
  <c r="H43" i="242"/>
  <c r="H44" i="242"/>
  <c r="H45" i="242"/>
  <c r="H46" i="242"/>
  <c r="H47" i="242"/>
  <c r="H48" i="242"/>
  <c r="H49" i="242"/>
  <c r="H50" i="242"/>
  <c r="H51" i="242"/>
  <c r="H98" i="163"/>
  <c r="H97" i="163"/>
  <c r="H96" i="163"/>
  <c r="H95" i="163"/>
  <c r="H94" i="163"/>
  <c r="H92" i="163"/>
  <c r="H91" i="163"/>
  <c r="H90" i="163"/>
  <c r="H89" i="163"/>
  <c r="H88" i="163"/>
  <c r="H87" i="163"/>
  <c r="H86" i="163"/>
  <c r="H85" i="163"/>
  <c r="H84" i="163"/>
  <c r="F93" i="163"/>
  <c r="H93" i="163" s="1"/>
  <c r="F64" i="163"/>
  <c r="H64" i="163" s="1"/>
  <c r="H63" i="163"/>
  <c r="F62" i="163"/>
  <c r="H62" i="163" s="1"/>
  <c r="H61" i="163"/>
  <c r="H60" i="163"/>
  <c r="H59" i="163"/>
  <c r="H57" i="163"/>
  <c r="F56" i="163"/>
  <c r="H55" i="163"/>
  <c r="F54" i="163"/>
  <c r="H53" i="163"/>
  <c r="F52" i="163"/>
  <c r="H51" i="163"/>
  <c r="F50" i="163"/>
  <c r="H49" i="163"/>
  <c r="H48" i="163"/>
  <c r="H47" i="163"/>
  <c r="H46" i="163"/>
  <c r="H45" i="163"/>
  <c r="H44" i="163"/>
  <c r="H43" i="163"/>
  <c r="H42" i="163"/>
  <c r="H41" i="163"/>
  <c r="H40" i="163"/>
  <c r="H39" i="163"/>
  <c r="H38" i="163"/>
  <c r="H37" i="163"/>
  <c r="H36" i="163"/>
  <c r="H18" i="163"/>
  <c r="H20" i="235"/>
  <c r="H21" i="235"/>
  <c r="H22" i="235"/>
  <c r="H23" i="235"/>
  <c r="H24" i="235"/>
  <c r="H25" i="235"/>
  <c r="H26" i="169"/>
  <c r="H27" i="169"/>
  <c r="H28" i="169"/>
  <c r="H29" i="169"/>
  <c r="H30" i="169"/>
  <c r="H31" i="169"/>
  <c r="H32" i="169"/>
  <c r="H33" i="169"/>
  <c r="H34" i="169"/>
  <c r="H35" i="169"/>
  <c r="H36" i="169"/>
  <c r="H37" i="169"/>
  <c r="H38" i="169"/>
  <c r="H39" i="169"/>
  <c r="H40" i="169"/>
  <c r="H41" i="169"/>
  <c r="H42" i="169"/>
  <c r="H43" i="169"/>
  <c r="H44" i="169"/>
  <c r="H45" i="169"/>
  <c r="H46" i="169"/>
  <c r="H47" i="169"/>
  <c r="H48" i="169"/>
  <c r="H49" i="169"/>
  <c r="H50" i="169"/>
  <c r="F23" i="168"/>
  <c r="L23" i="168" s="1"/>
  <c r="F19" i="168"/>
  <c r="L19" i="168" s="1"/>
  <c r="H24" i="168"/>
  <c r="H25" i="168"/>
  <c r="F15" i="166"/>
  <c r="L15" i="166" s="1"/>
  <c r="H55" i="212"/>
  <c r="F22" i="211"/>
  <c r="H17" i="235"/>
  <c r="H18" i="235"/>
  <c r="F19" i="235"/>
  <c r="L19" i="235" s="1"/>
  <c r="H18" i="167"/>
  <c r="H19" i="167"/>
  <c r="H20" i="167"/>
  <c r="H21" i="167"/>
  <c r="H36" i="250"/>
  <c r="H37" i="250"/>
  <c r="H38" i="250"/>
  <c r="H39" i="250"/>
  <c r="H40" i="250"/>
  <c r="H41" i="250"/>
  <c r="H42" i="250"/>
  <c r="H43" i="250"/>
  <c r="H32" i="250"/>
  <c r="H33" i="250"/>
  <c r="H34" i="250"/>
  <c r="H35" i="250"/>
  <c r="H22" i="250"/>
  <c r="H23" i="250"/>
  <c r="H24" i="250"/>
  <c r="H25" i="250"/>
  <c r="H26" i="250"/>
  <c r="H27" i="250"/>
  <c r="H28" i="250"/>
  <c r="H29" i="250"/>
  <c r="H30" i="250"/>
  <c r="H31" i="250"/>
  <c r="H21" i="250"/>
  <c r="H20" i="250"/>
  <c r="H19" i="250"/>
  <c r="H18" i="250"/>
  <c r="H17" i="250"/>
  <c r="H28" i="213"/>
  <c r="H27" i="213"/>
  <c r="H26" i="213"/>
  <c r="H25" i="213"/>
  <c r="H24" i="213"/>
  <c r="H23" i="213"/>
  <c r="H22" i="213"/>
  <c r="H38" i="248"/>
  <c r="H39" i="248"/>
  <c r="H40" i="248"/>
  <c r="H41" i="248"/>
  <c r="H42" i="248"/>
  <c r="H34" i="248"/>
  <c r="H35" i="248"/>
  <c r="H36" i="248"/>
  <c r="H37" i="248"/>
  <c r="H43" i="248"/>
  <c r="H44" i="248"/>
  <c r="H45" i="248"/>
  <c r="H46" i="248"/>
  <c r="H47" i="248"/>
  <c r="H48" i="248"/>
  <c r="H49" i="248"/>
  <c r="H50" i="248"/>
  <c r="H51" i="248"/>
  <c r="H52" i="248"/>
  <c r="H53" i="248"/>
  <c r="H54" i="248"/>
  <c r="H55" i="248"/>
  <c r="H56" i="248"/>
  <c r="H57" i="248"/>
  <c r="H58" i="248"/>
  <c r="B64" i="248"/>
  <c r="H60" i="247"/>
  <c r="H61" i="247"/>
  <c r="H59" i="247"/>
  <c r="H52" i="247"/>
  <c r="H53" i="247"/>
  <c r="H54" i="247"/>
  <c r="H55" i="247"/>
  <c r="H56" i="247"/>
  <c r="H58" i="247"/>
  <c r="H50" i="247"/>
  <c r="H51" i="247"/>
  <c r="H49" i="247"/>
  <c r="H45" i="247"/>
  <c r="H34" i="247"/>
  <c r="H35" i="247"/>
  <c r="H36" i="247"/>
  <c r="H37" i="247"/>
  <c r="H38" i="247"/>
  <c r="H39" i="247"/>
  <c r="H40" i="247"/>
  <c r="H41" i="247"/>
  <c r="H42" i="247"/>
  <c r="H43" i="247"/>
  <c r="H44" i="247"/>
  <c r="H46" i="247"/>
  <c r="H48" i="247"/>
  <c r="H33" i="247"/>
  <c r="H32" i="247"/>
  <c r="H31" i="247"/>
  <c r="H30" i="247"/>
  <c r="H29" i="247"/>
  <c r="H28" i="247"/>
  <c r="H27" i="247"/>
  <c r="H25" i="247"/>
  <c r="H24" i="247"/>
  <c r="H23" i="247"/>
  <c r="H22" i="247"/>
  <c r="H21" i="247"/>
  <c r="H20" i="247"/>
  <c r="H19" i="247"/>
  <c r="H18" i="247"/>
  <c r="H17" i="247"/>
  <c r="H16" i="247"/>
  <c r="H15" i="247"/>
  <c r="H5" i="246"/>
  <c r="H104" i="246"/>
  <c r="H103" i="246"/>
  <c r="H102" i="246"/>
  <c r="H101" i="246"/>
  <c r="H100" i="246"/>
  <c r="H99" i="246"/>
  <c r="H98" i="246"/>
  <c r="H97" i="246"/>
  <c r="H96" i="246"/>
  <c r="H95" i="246"/>
  <c r="H94" i="246"/>
  <c r="H93" i="246"/>
  <c r="H92" i="246"/>
  <c r="F46" i="246"/>
  <c r="H46" i="246" s="1"/>
  <c r="F42" i="246"/>
  <c r="H42" i="246" s="1"/>
  <c r="H59" i="246"/>
  <c r="H58" i="246"/>
  <c r="H57" i="246"/>
  <c r="H56" i="246"/>
  <c r="B63" i="246"/>
  <c r="H54" i="246"/>
  <c r="H53" i="246"/>
  <c r="H52" i="246"/>
  <c r="H51" i="246"/>
  <c r="H50" i="246"/>
  <c r="H49" i="246"/>
  <c r="H48" i="246"/>
  <c r="H47" i="246"/>
  <c r="H45" i="246"/>
  <c r="H44" i="246"/>
  <c r="H43" i="246"/>
  <c r="H40" i="246"/>
  <c r="H39" i="246"/>
  <c r="H37" i="246"/>
  <c r="H36" i="246"/>
  <c r="H35" i="246"/>
  <c r="H34" i="246"/>
  <c r="H33" i="246"/>
  <c r="H32" i="246"/>
  <c r="H31" i="246"/>
  <c r="H30" i="246"/>
  <c r="H29" i="246"/>
  <c r="H28" i="246"/>
  <c r="H27" i="246"/>
  <c r="H26" i="246"/>
  <c r="H25" i="246"/>
  <c r="H24" i="246"/>
  <c r="H23" i="246"/>
  <c r="H33" i="245"/>
  <c r="H34" i="245"/>
  <c r="H35" i="245"/>
  <c r="H36" i="245"/>
  <c r="H37" i="245"/>
  <c r="H38" i="245"/>
  <c r="H39" i="245"/>
  <c r="H40" i="245"/>
  <c r="H41" i="245"/>
  <c r="H42" i="245"/>
  <c r="H43" i="245"/>
  <c r="H44" i="245"/>
  <c r="H45" i="245"/>
  <c r="H46" i="245"/>
  <c r="H47" i="245"/>
  <c r="H43" i="244"/>
  <c r="H42" i="244"/>
  <c r="H41" i="244"/>
  <c r="H39" i="244"/>
  <c r="H38" i="244"/>
  <c r="H37" i="244"/>
  <c r="H36" i="244"/>
  <c r="H35" i="244"/>
  <c r="H34" i="244"/>
  <c r="H31" i="244"/>
  <c r="H30" i="242"/>
  <c r="H31" i="242"/>
  <c r="H32" i="242"/>
  <c r="H33" i="242"/>
  <c r="H34" i="242"/>
  <c r="H35" i="242"/>
  <c r="H36" i="242"/>
  <c r="H37" i="242"/>
  <c r="H38" i="242"/>
  <c r="H39" i="242"/>
  <c r="H40" i="242"/>
  <c r="H41" i="242"/>
  <c r="H42" i="242"/>
  <c r="H26" i="242"/>
  <c r="H27" i="242"/>
  <c r="H85" i="208"/>
  <c r="H86" i="208"/>
  <c r="H87" i="208"/>
  <c r="H88" i="208"/>
  <c r="H89" i="208"/>
  <c r="H90" i="208"/>
  <c r="H91" i="208"/>
  <c r="L40" i="168" l="1"/>
  <c r="L2" i="168" s="1"/>
  <c r="J27" i="283" s="1"/>
  <c r="L38" i="166"/>
  <c r="L2" i="166" s="1"/>
  <c r="J25" i="283" s="1"/>
  <c r="L31" i="235"/>
  <c r="L2" i="235" s="1"/>
  <c r="J24" i="283" s="1"/>
  <c r="F17" i="262"/>
  <c r="S60" i="283"/>
  <c r="H54" i="163"/>
  <c r="L54" i="163"/>
  <c r="H56" i="163"/>
  <c r="L56" i="163"/>
  <c r="H50" i="163"/>
  <c r="L50" i="163"/>
  <c r="H58" i="163"/>
  <c r="L58" i="163"/>
  <c r="H52" i="163"/>
  <c r="L52" i="163"/>
  <c r="B90" i="283"/>
  <c r="K62" i="283"/>
  <c r="G62" i="283"/>
  <c r="H44" i="282"/>
  <c r="H1" i="282" s="1"/>
  <c r="K55" i="254" s="1"/>
  <c r="G55" i="254" s="1"/>
  <c r="D57" i="283" s="1"/>
  <c r="H55" i="281"/>
  <c r="H1" i="281" s="1"/>
  <c r="K54" i="254" s="1"/>
  <c r="G54" i="254" s="1"/>
  <c r="D56" i="283" s="1"/>
  <c r="H67" i="280"/>
  <c r="H1" i="280" s="1"/>
  <c r="K53" i="254" s="1"/>
  <c r="G53" i="254" s="1"/>
  <c r="D55" i="283" s="1"/>
  <c r="H75" i="279"/>
  <c r="H1" i="279" s="1"/>
  <c r="K52" i="254" s="1"/>
  <c r="G52" i="254" s="1"/>
  <c r="D54" i="283" s="1"/>
  <c r="H74" i="278"/>
  <c r="H1" i="278" s="1"/>
  <c r="K51" i="254" s="1"/>
  <c r="G51" i="254" s="1"/>
  <c r="D53" i="283" s="1"/>
  <c r="H62" i="277"/>
  <c r="H1" i="277" s="1"/>
  <c r="K50" i="254" s="1"/>
  <c r="G50" i="254" s="1"/>
  <c r="D52" i="283" s="1"/>
  <c r="H44" i="276"/>
  <c r="H1" i="276" s="1"/>
  <c r="K49" i="254" s="1"/>
  <c r="G49" i="254" s="1"/>
  <c r="D51" i="283" s="1"/>
  <c r="K51" i="283" s="1"/>
  <c r="H55" i="275"/>
  <c r="H1" i="275" s="1"/>
  <c r="H67" i="274"/>
  <c r="H1" i="274" s="1"/>
  <c r="K47" i="254" s="1"/>
  <c r="G47" i="254" s="1"/>
  <c r="D49" i="283" s="1"/>
  <c r="H75" i="273"/>
  <c r="H1" i="273" s="1"/>
  <c r="K46" i="254" s="1"/>
  <c r="G46" i="254" s="1"/>
  <c r="D48" i="283" s="1"/>
  <c r="H74" i="272"/>
  <c r="H1" i="272" s="1"/>
  <c r="K45" i="254" s="1"/>
  <c r="G45" i="254" s="1"/>
  <c r="D47" i="283" s="1"/>
  <c r="H61" i="271"/>
  <c r="H1" i="271" s="1"/>
  <c r="K44" i="254" s="1"/>
  <c r="G44" i="254" s="1"/>
  <c r="D46" i="283" s="1"/>
  <c r="H55" i="269"/>
  <c r="H1" i="269" s="1"/>
  <c r="K56" i="283" l="1"/>
  <c r="G56" i="283"/>
  <c r="K55" i="283"/>
  <c r="G55" i="283"/>
  <c r="K52" i="283"/>
  <c r="G52" i="283"/>
  <c r="K42" i="254"/>
  <c r="G42" i="254" s="1"/>
  <c r="D44" i="283" s="1"/>
  <c r="K48" i="254"/>
  <c r="G48" i="254" s="1"/>
  <c r="D50" i="283" s="1"/>
  <c r="K49" i="283"/>
  <c r="G49" i="283"/>
  <c r="K46" i="283"/>
  <c r="G46" i="283"/>
  <c r="T63" i="283"/>
  <c r="T61" i="283"/>
  <c r="T64" i="283"/>
  <c r="T65" i="283"/>
  <c r="T62" i="283"/>
  <c r="G57" i="283"/>
  <c r="K57" i="283"/>
  <c r="G54" i="283"/>
  <c r="K54" i="283"/>
  <c r="G53" i="283"/>
  <c r="K53" i="283"/>
  <c r="G48" i="283"/>
  <c r="K48" i="283"/>
  <c r="G47" i="283"/>
  <c r="K47" i="283"/>
  <c r="G51" i="283"/>
  <c r="K44" i="283" l="1"/>
  <c r="G44" i="283"/>
  <c r="K50" i="283"/>
  <c r="G50" i="283"/>
  <c r="F25" i="159"/>
  <c r="H27" i="241"/>
  <c r="B31" i="235"/>
  <c r="B2" i="235"/>
  <c r="F2" i="235"/>
  <c r="B3" i="235"/>
  <c r="H5" i="235"/>
  <c r="B6" i="235"/>
  <c r="H10" i="235"/>
  <c r="H11" i="235"/>
  <c r="H26" i="211"/>
  <c r="H27" i="211"/>
  <c r="H28" i="211"/>
  <c r="H29" i="211"/>
  <c r="H30" i="211"/>
  <c r="H31" i="211"/>
  <c r="H32" i="211"/>
  <c r="H33" i="211"/>
  <c r="H34" i="211"/>
  <c r="H35" i="211"/>
  <c r="H25" i="211"/>
  <c r="H24" i="211"/>
  <c r="H23" i="211"/>
  <c r="H22" i="211"/>
  <c r="H21" i="211"/>
  <c r="H20" i="211"/>
  <c r="H19" i="211"/>
  <c r="H18" i="211"/>
  <c r="H17" i="211"/>
  <c r="H16" i="211"/>
  <c r="H15" i="211"/>
  <c r="H14" i="211"/>
  <c r="H13" i="211"/>
  <c r="F90" i="207"/>
  <c r="H89" i="207"/>
  <c r="H88" i="207"/>
  <c r="H87" i="207"/>
  <c r="H86" i="207"/>
  <c r="H85" i="207"/>
  <c r="H84" i="207"/>
  <c r="H83" i="207"/>
  <c r="H82" i="207"/>
  <c r="H80" i="207"/>
  <c r="H79" i="207"/>
  <c r="H78" i="207"/>
  <c r="H77" i="207"/>
  <c r="H76" i="207"/>
  <c r="H75" i="207"/>
  <c r="H74" i="207"/>
  <c r="H73" i="207"/>
  <c r="H72" i="207"/>
  <c r="H59" i="207"/>
  <c r="H58" i="207"/>
  <c r="H57" i="207"/>
  <c r="H56" i="207"/>
  <c r="H55" i="207"/>
  <c r="H53" i="207"/>
  <c r="H52" i="207"/>
  <c r="H51" i="207"/>
  <c r="H49" i="207"/>
  <c r="H48" i="207"/>
  <c r="H47" i="207"/>
  <c r="H46" i="207"/>
  <c r="H45" i="207"/>
  <c r="H44" i="207"/>
  <c r="H43" i="207"/>
  <c r="H42" i="207"/>
  <c r="H41" i="207"/>
  <c r="H40" i="207"/>
  <c r="H39" i="207"/>
  <c r="H38" i="207"/>
  <c r="H37" i="207"/>
  <c r="H36" i="207"/>
  <c r="H35" i="207"/>
  <c r="H34" i="207"/>
  <c r="H33" i="207"/>
  <c r="B121" i="207"/>
  <c r="H100" i="207"/>
  <c r="H41" i="237"/>
  <c r="H40" i="237"/>
  <c r="H38" i="237"/>
  <c r="H36" i="237"/>
  <c r="H35" i="237"/>
  <c r="H34" i="237"/>
  <c r="H33" i="237"/>
  <c r="H32" i="237"/>
  <c r="H31" i="237"/>
  <c r="H30" i="237"/>
  <c r="H29" i="237"/>
  <c r="H28" i="237"/>
  <c r="H27" i="237"/>
  <c r="H26" i="237"/>
  <c r="H25" i="237"/>
  <c r="H24" i="237"/>
  <c r="H23" i="237"/>
  <c r="H35" i="238"/>
  <c r="H34" i="238"/>
  <c r="H33" i="238"/>
  <c r="H32" i="238"/>
  <c r="H31" i="238"/>
  <c r="H30" i="238"/>
  <c r="H29" i="238"/>
  <c r="H28" i="238"/>
  <c r="H27" i="238"/>
  <c r="H26" i="238"/>
  <c r="H81" i="209"/>
  <c r="H82" i="209"/>
  <c r="H83" i="209"/>
  <c r="H85" i="209"/>
  <c r="H86" i="209"/>
  <c r="H87" i="209"/>
  <c r="H88" i="209"/>
  <c r="H89" i="209"/>
  <c r="H90" i="209"/>
  <c r="H91" i="209"/>
  <c r="H92" i="209"/>
  <c r="H93" i="209"/>
  <c r="H94" i="209"/>
  <c r="H95" i="209"/>
  <c r="H96" i="209"/>
  <c r="H97" i="209"/>
  <c r="H98" i="209"/>
  <c r="H99" i="209"/>
  <c r="H100" i="209"/>
  <c r="H101" i="209"/>
  <c r="H102" i="209"/>
  <c r="H103" i="209"/>
  <c r="H104" i="209"/>
  <c r="H122" i="209"/>
  <c r="H121" i="209"/>
  <c r="H120" i="209"/>
  <c r="H119" i="209"/>
  <c r="H118" i="209"/>
  <c r="H117" i="209"/>
  <c r="H116" i="209"/>
  <c r="H115" i="209"/>
  <c r="H114" i="209"/>
  <c r="H113" i="209"/>
  <c r="H112" i="209"/>
  <c r="H111" i="209"/>
  <c r="H110" i="209"/>
  <c r="H109" i="209"/>
  <c r="H108" i="209"/>
  <c r="H107" i="209"/>
  <c r="H106" i="209"/>
  <c r="H105" i="209"/>
  <c r="H62" i="209"/>
  <c r="H61" i="209"/>
  <c r="H60" i="209"/>
  <c r="H59" i="209"/>
  <c r="H58" i="209"/>
  <c r="H57" i="209"/>
  <c r="H56" i="209"/>
  <c r="H37" i="209"/>
  <c r="H38" i="209"/>
  <c r="H39" i="209"/>
  <c r="H40" i="209"/>
  <c r="H41" i="209"/>
  <c r="H42" i="209"/>
  <c r="H43" i="209"/>
  <c r="H44" i="209"/>
  <c r="H45" i="209"/>
  <c r="H46" i="209"/>
  <c r="H47" i="209"/>
  <c r="H48" i="209"/>
  <c r="H49" i="209"/>
  <c r="H50" i="209"/>
  <c r="H51" i="209"/>
  <c r="H106" i="208"/>
  <c r="K106" i="208" s="1"/>
  <c r="L106" i="208" s="1"/>
  <c r="H105" i="208"/>
  <c r="H104" i="208"/>
  <c r="H103" i="208"/>
  <c r="H102" i="208"/>
  <c r="H100" i="208"/>
  <c r="H99" i="208"/>
  <c r="H98" i="208"/>
  <c r="H96" i="208"/>
  <c r="K96" i="208" s="1"/>
  <c r="L96" i="208" s="1"/>
  <c r="H95" i="208"/>
  <c r="H94" i="208"/>
  <c r="H93" i="208"/>
  <c r="H92" i="208"/>
  <c r="H84" i="208"/>
  <c r="H83" i="208"/>
  <c r="H82" i="208"/>
  <c r="H81" i="208"/>
  <c r="H80" i="208"/>
  <c r="H79" i="208"/>
  <c r="H78" i="208"/>
  <c r="H77" i="208"/>
  <c r="H76" i="208"/>
  <c r="H75" i="208"/>
  <c r="H74" i="208"/>
  <c r="H73" i="208"/>
  <c r="H72" i="208"/>
  <c r="H55" i="208"/>
  <c r="H54" i="208"/>
  <c r="H53" i="208"/>
  <c r="H52" i="208"/>
  <c r="H51" i="208"/>
  <c r="H49" i="208"/>
  <c r="H48" i="208"/>
  <c r="H47" i="208"/>
  <c r="H46" i="208"/>
  <c r="H45" i="208"/>
  <c r="H44" i="208"/>
  <c r="H42" i="208"/>
  <c r="H41" i="208"/>
  <c r="H40" i="208"/>
  <c r="H39" i="208"/>
  <c r="H38" i="208"/>
  <c r="H37" i="208"/>
  <c r="H36" i="208"/>
  <c r="H35" i="208"/>
  <c r="H34" i="208"/>
  <c r="H33" i="208"/>
  <c r="F33" i="165"/>
  <c r="F27" i="165"/>
  <c r="L114" i="208" l="1"/>
  <c r="L2" i="208" s="1"/>
  <c r="J18" i="283" s="1"/>
  <c r="H90" i="207"/>
  <c r="L90" i="207"/>
  <c r="L121" i="207" s="1"/>
  <c r="L2" i="207" s="1"/>
  <c r="J20" i="283" s="1"/>
  <c r="H33" i="163"/>
  <c r="H32" i="163"/>
  <c r="H31" i="163"/>
  <c r="H30" i="163"/>
  <c r="H29" i="163"/>
  <c r="H28" i="163"/>
  <c r="H27" i="163"/>
  <c r="H26" i="163"/>
  <c r="H25" i="163"/>
  <c r="H24" i="163"/>
  <c r="H23" i="163"/>
  <c r="H22" i="163"/>
  <c r="H70" i="163"/>
  <c r="F14" i="163"/>
  <c r="L14" i="163" s="1"/>
  <c r="L123" i="163" s="1"/>
  <c r="L2" i="163" s="1"/>
  <c r="J13" i="283" s="1"/>
  <c r="F190" i="162"/>
  <c r="F180" i="162"/>
  <c r="F176" i="162"/>
  <c r="H153" i="162"/>
  <c r="H152" i="162"/>
  <c r="F154" i="162" s="1"/>
  <c r="H154" i="162" s="1"/>
  <c r="H83" i="159"/>
  <c r="H79" i="159"/>
  <c r="H80" i="159"/>
  <c r="H98" i="159"/>
  <c r="H97" i="159"/>
  <c r="F99" i="159" s="1"/>
  <c r="H99" i="159" s="1"/>
  <c r="H96" i="159"/>
  <c r="H95" i="159"/>
  <c r="H94" i="159"/>
  <c r="H93" i="159"/>
  <c r="H92" i="159"/>
  <c r="H91" i="159"/>
  <c r="H90" i="159"/>
  <c r="H89" i="159"/>
  <c r="H88" i="159"/>
  <c r="H87" i="159"/>
  <c r="H86" i="159"/>
  <c r="H85" i="159"/>
  <c r="H81" i="159"/>
  <c r="H78" i="159"/>
  <c r="H77" i="159"/>
  <c r="H76" i="159"/>
  <c r="H75" i="159"/>
  <c r="H74" i="159"/>
  <c r="H73" i="159"/>
  <c r="H72" i="159"/>
  <c r="H71" i="159"/>
  <c r="H70" i="159"/>
  <c r="H69" i="159"/>
  <c r="H68" i="159"/>
  <c r="H67" i="159"/>
  <c r="F17" i="159"/>
  <c r="C18" i="228"/>
  <c r="E16" i="228"/>
  <c r="E15" i="228"/>
  <c r="J60" i="283" l="1"/>
  <c r="J63" i="283" s="1"/>
  <c r="W71" i="283" s="1"/>
  <c r="V72" i="283" s="1"/>
  <c r="E17" i="228"/>
  <c r="H15" i="161" l="1"/>
  <c r="B54" i="262" l="1"/>
  <c r="B16" i="264" l="1"/>
  <c r="B14" i="264"/>
  <c r="B9" i="264"/>
  <c r="B66" i="260"/>
  <c r="B4" i="264"/>
  <c r="B2" i="264"/>
  <c r="F1" i="264"/>
  <c r="B1" i="264"/>
  <c r="G129" i="254"/>
  <c r="C93" i="254"/>
  <c r="B93" i="254"/>
  <c r="C9" i="263"/>
  <c r="B9" i="263"/>
  <c r="B4" i="263"/>
  <c r="B2" i="263"/>
  <c r="F1" i="263"/>
  <c r="B1" i="263"/>
  <c r="H61" i="262"/>
  <c r="H62" i="262"/>
  <c r="H63" i="262"/>
  <c r="H64" i="262"/>
  <c r="H65" i="262"/>
  <c r="H66" i="262"/>
  <c r="H67" i="262"/>
  <c r="H68" i="262"/>
  <c r="H69" i="262"/>
  <c r="H70" i="262"/>
  <c r="H71" i="262"/>
  <c r="H72" i="262"/>
  <c r="H73" i="262"/>
  <c r="H74" i="262"/>
  <c r="H75" i="262"/>
  <c r="H76" i="262"/>
  <c r="H77" i="262"/>
  <c r="H78" i="262"/>
  <c r="H79" i="262"/>
  <c r="H80" i="262"/>
  <c r="H81" i="262"/>
  <c r="H82" i="262"/>
  <c r="H83" i="262"/>
  <c r="H60" i="262"/>
  <c r="B55" i="262"/>
  <c r="B52" i="262"/>
  <c r="F51" i="262"/>
  <c r="B51" i="262"/>
  <c r="B50" i="262"/>
  <c r="H11" i="262"/>
  <c r="H12" i="262"/>
  <c r="H13" i="262"/>
  <c r="H14" i="262"/>
  <c r="H15" i="262"/>
  <c r="H16" i="262"/>
  <c r="H17" i="262"/>
  <c r="H18" i="262"/>
  <c r="H19" i="262"/>
  <c r="H20" i="262"/>
  <c r="H21" i="262"/>
  <c r="H22" i="262"/>
  <c r="H23" i="262"/>
  <c r="H24" i="262"/>
  <c r="H25" i="262"/>
  <c r="H26" i="262"/>
  <c r="H27" i="262"/>
  <c r="H28" i="262"/>
  <c r="H29" i="262"/>
  <c r="H30" i="262"/>
  <c r="H32" i="262"/>
  <c r="H34" i="262"/>
  <c r="H36" i="262"/>
  <c r="H119" i="262"/>
  <c r="B120" i="262"/>
  <c r="H10" i="262"/>
  <c r="B6" i="262"/>
  <c r="H5" i="262"/>
  <c r="H54" i="262" s="1"/>
  <c r="B3" i="262"/>
  <c r="F2" i="262"/>
  <c r="B2" i="262"/>
  <c r="H40" i="260"/>
  <c r="H41" i="260"/>
  <c r="H42" i="260"/>
  <c r="H43" i="260"/>
  <c r="H44" i="260"/>
  <c r="H45" i="260"/>
  <c r="H46" i="260"/>
  <c r="H47" i="260"/>
  <c r="H48" i="260"/>
  <c r="H49" i="260"/>
  <c r="H50" i="260"/>
  <c r="H51" i="260"/>
  <c r="H52" i="260"/>
  <c r="H53" i="260"/>
  <c r="H54" i="260"/>
  <c r="H55" i="260"/>
  <c r="H56" i="260"/>
  <c r="H57" i="260"/>
  <c r="H58" i="260"/>
  <c r="H59" i="260"/>
  <c r="C9" i="261"/>
  <c r="B4" i="261"/>
  <c r="B2" i="261"/>
  <c r="F1" i="261"/>
  <c r="B1" i="261"/>
  <c r="H14" i="260"/>
  <c r="H15" i="260"/>
  <c r="H16" i="260"/>
  <c r="H17" i="260"/>
  <c r="H18" i="260"/>
  <c r="H19" i="260"/>
  <c r="H20" i="260"/>
  <c r="H21" i="260"/>
  <c r="H22" i="260"/>
  <c r="H23" i="260"/>
  <c r="H24" i="260"/>
  <c r="H25" i="260"/>
  <c r="H26" i="260"/>
  <c r="H27" i="260"/>
  <c r="H28" i="260"/>
  <c r="H29" i="260"/>
  <c r="H30" i="260"/>
  <c r="H31" i="260"/>
  <c r="H32" i="260"/>
  <c r="H33" i="260"/>
  <c r="H34" i="260"/>
  <c r="H35" i="260"/>
  <c r="H36" i="260"/>
  <c r="H37" i="260"/>
  <c r="H38" i="260"/>
  <c r="H39" i="260"/>
  <c r="H13" i="260"/>
  <c r="H12" i="260"/>
  <c r="H11" i="260"/>
  <c r="H10" i="260"/>
  <c r="B6" i="260"/>
  <c r="H5" i="260"/>
  <c r="B3" i="260"/>
  <c r="F2" i="260"/>
  <c r="B2" i="260"/>
  <c r="C37" i="254"/>
  <c r="C38" i="283" s="1"/>
  <c r="C36" i="254"/>
  <c r="C37" i="283" s="1"/>
  <c r="C35" i="254"/>
  <c r="C36" i="283" s="1"/>
  <c r="C34" i="254"/>
  <c r="C35" i="283" s="1"/>
  <c r="C33" i="254"/>
  <c r="C34" i="283" s="1"/>
  <c r="C32" i="254"/>
  <c r="C33" i="283" s="1"/>
  <c r="B64" i="254"/>
  <c r="B62" i="254"/>
  <c r="F61" i="254"/>
  <c r="B61" i="254"/>
  <c r="B35" i="254"/>
  <c r="B36" i="283" s="1"/>
  <c r="B34" i="254"/>
  <c r="B35" i="283" s="1"/>
  <c r="B37" i="254"/>
  <c r="B38" i="283" s="1"/>
  <c r="B36" i="254"/>
  <c r="B37" i="283" s="1"/>
  <c r="B33" i="254"/>
  <c r="B34" i="283" s="1"/>
  <c r="B32" i="254"/>
  <c r="B33" i="283" s="1"/>
  <c r="C30" i="254"/>
  <c r="C31" i="283" s="1"/>
  <c r="C29" i="254"/>
  <c r="C30" i="283" s="1"/>
  <c r="B31" i="254"/>
  <c r="B32" i="283" s="1"/>
  <c r="B30" i="254"/>
  <c r="B31" i="283" s="1"/>
  <c r="B29" i="254"/>
  <c r="B30" i="283" s="1"/>
  <c r="B45" i="250"/>
  <c r="H11" i="250"/>
  <c r="H12" i="250"/>
  <c r="H13" i="250"/>
  <c r="H14" i="250"/>
  <c r="H15" i="250"/>
  <c r="H44" i="250"/>
  <c r="H5" i="250"/>
  <c r="B65" i="247"/>
  <c r="H5" i="247"/>
  <c r="B116" i="246"/>
  <c r="B68" i="246"/>
  <c r="B65" i="246"/>
  <c r="F64" i="246"/>
  <c r="B64" i="246"/>
  <c r="B63" i="193"/>
  <c r="H12" i="193"/>
  <c r="H13" i="193"/>
  <c r="H14" i="193"/>
  <c r="H15" i="193"/>
  <c r="H16" i="193"/>
  <c r="H17" i="193"/>
  <c r="H18" i="193"/>
  <c r="H19" i="193"/>
  <c r="H20" i="193"/>
  <c r="H21" i="193"/>
  <c r="H22" i="193"/>
  <c r="H23" i="193"/>
  <c r="H24" i="193"/>
  <c r="H25" i="193"/>
  <c r="H26" i="193"/>
  <c r="H27" i="193"/>
  <c r="H29" i="193"/>
  <c r="H30" i="193"/>
  <c r="H31" i="193"/>
  <c r="H32" i="193"/>
  <c r="H33" i="193"/>
  <c r="H34" i="193"/>
  <c r="H35" i="193"/>
  <c r="H36" i="193"/>
  <c r="H37" i="193"/>
  <c r="H38" i="193"/>
  <c r="H60" i="193"/>
  <c r="H61" i="193"/>
  <c r="H62" i="193"/>
  <c r="H5" i="248"/>
  <c r="H5" i="245"/>
  <c r="B54" i="245"/>
  <c r="B49" i="244"/>
  <c r="H5" i="244"/>
  <c r="H10" i="244"/>
  <c r="H13" i="244"/>
  <c r="H14" i="244"/>
  <c r="H15" i="244"/>
  <c r="H16" i="244"/>
  <c r="B40" i="168"/>
  <c r="H11" i="168"/>
  <c r="H12" i="168"/>
  <c r="H13" i="168"/>
  <c r="H14" i="168"/>
  <c r="H15" i="168"/>
  <c r="H16" i="168"/>
  <c r="H17" i="168"/>
  <c r="H18" i="168"/>
  <c r="H19" i="168"/>
  <c r="H20" i="168"/>
  <c r="H21" i="168"/>
  <c r="H22" i="168"/>
  <c r="H23" i="168"/>
  <c r="B44" i="200"/>
  <c r="H12" i="200"/>
  <c r="H13" i="200"/>
  <c r="H14" i="200"/>
  <c r="H15" i="200"/>
  <c r="H16" i="200"/>
  <c r="H17" i="200"/>
  <c r="H18" i="200"/>
  <c r="H19" i="200"/>
  <c r="H20" i="200"/>
  <c r="H21" i="200"/>
  <c r="H22" i="200"/>
  <c r="H23" i="200"/>
  <c r="H24" i="200"/>
  <c r="H25" i="200"/>
  <c r="H26" i="200"/>
  <c r="H27" i="200"/>
  <c r="H28" i="200"/>
  <c r="H29" i="200"/>
  <c r="H30" i="200"/>
  <c r="H31" i="200"/>
  <c r="H32" i="200"/>
  <c r="H33" i="200"/>
  <c r="H35" i="200"/>
  <c r="H36" i="200"/>
  <c r="H37" i="200"/>
  <c r="H43" i="200"/>
  <c r="B65" i="196"/>
  <c r="H12" i="196"/>
  <c r="H13" i="196"/>
  <c r="H14" i="196"/>
  <c r="H15" i="196"/>
  <c r="H63" i="196"/>
  <c r="H5" i="241"/>
  <c r="B60" i="241"/>
  <c r="B51" i="169"/>
  <c r="H11" i="169"/>
  <c r="H12" i="169"/>
  <c r="H13" i="169"/>
  <c r="H14" i="169"/>
  <c r="H15" i="169"/>
  <c r="H16" i="169"/>
  <c r="H17" i="169"/>
  <c r="H18" i="169"/>
  <c r="H19" i="169"/>
  <c r="H20" i="169"/>
  <c r="H21" i="169"/>
  <c r="H22" i="169"/>
  <c r="H23" i="169"/>
  <c r="H24" i="169"/>
  <c r="H25" i="169"/>
  <c r="C31" i="254"/>
  <c r="C32" i="283" s="1"/>
  <c r="C23" i="254"/>
  <c r="C24" i="283" s="1"/>
  <c r="C22" i="254"/>
  <c r="C23" i="283" s="1"/>
  <c r="B22" i="254"/>
  <c r="B23" i="283" s="1"/>
  <c r="B23" i="254"/>
  <c r="B24" i="283" s="1"/>
  <c r="H12" i="195"/>
  <c r="H13" i="195"/>
  <c r="H14" i="195"/>
  <c r="H15" i="195"/>
  <c r="H16" i="195"/>
  <c r="H17" i="195"/>
  <c r="H18" i="195"/>
  <c r="H35" i="195"/>
  <c r="H36" i="195"/>
  <c r="H37" i="195"/>
  <c r="H38" i="195"/>
  <c r="H39" i="195"/>
  <c r="H40" i="195"/>
  <c r="H41" i="195"/>
  <c r="H42" i="195"/>
  <c r="H43" i="195"/>
  <c r="H44" i="195"/>
  <c r="H45" i="195"/>
  <c r="H46" i="195"/>
  <c r="H47" i="195"/>
  <c r="H48" i="195"/>
  <c r="H49" i="195"/>
  <c r="H50" i="195"/>
  <c r="H51" i="195"/>
  <c r="H52" i="195"/>
  <c r="H53" i="195"/>
  <c r="H54" i="195"/>
  <c r="H55" i="195"/>
  <c r="H56" i="195"/>
  <c r="H57" i="195"/>
  <c r="H58" i="195"/>
  <c r="H59" i="195"/>
  <c r="H60" i="195"/>
  <c r="H61" i="195"/>
  <c r="H62" i="195"/>
  <c r="H63" i="195"/>
  <c r="H64" i="195"/>
  <c r="H65" i="195"/>
  <c r="H66" i="195"/>
  <c r="H67" i="195"/>
  <c r="H68" i="195"/>
  <c r="H69" i="195"/>
  <c r="H71" i="195"/>
  <c r="H72" i="195"/>
  <c r="H73" i="195"/>
  <c r="H74" i="195"/>
  <c r="H10" i="195"/>
  <c r="B75" i="195"/>
  <c r="B74" i="194"/>
  <c r="H12" i="194"/>
  <c r="H34" i="194"/>
  <c r="H52" i="194"/>
  <c r="H53" i="194"/>
  <c r="H54" i="194"/>
  <c r="H55" i="194"/>
  <c r="H56" i="194"/>
  <c r="H57" i="194"/>
  <c r="H58" i="194"/>
  <c r="H59" i="194"/>
  <c r="H60" i="194"/>
  <c r="H61" i="194"/>
  <c r="H62" i="194"/>
  <c r="H63" i="194"/>
  <c r="H64" i="194"/>
  <c r="H65" i="194"/>
  <c r="H66" i="194"/>
  <c r="H67" i="194"/>
  <c r="H68" i="194"/>
  <c r="H69" i="194"/>
  <c r="H70" i="194"/>
  <c r="H71" i="194"/>
  <c r="H72" i="194"/>
  <c r="H73" i="194"/>
  <c r="H11" i="249"/>
  <c r="H12" i="249"/>
  <c r="H13" i="249"/>
  <c r="H14" i="249"/>
  <c r="H15" i="249"/>
  <c r="H23" i="249"/>
  <c r="H24" i="249"/>
  <c r="H25" i="249"/>
  <c r="H26" i="249"/>
  <c r="H27" i="249"/>
  <c r="H28" i="249"/>
  <c r="H29" i="249"/>
  <c r="H30" i="249"/>
  <c r="H31" i="249"/>
  <c r="H32" i="249"/>
  <c r="H33" i="249"/>
  <c r="H34" i="249"/>
  <c r="H35" i="249"/>
  <c r="H36" i="249"/>
  <c r="H37" i="249"/>
  <c r="H38" i="249"/>
  <c r="H39" i="249"/>
  <c r="H40" i="249"/>
  <c r="H41" i="249"/>
  <c r="H42" i="249"/>
  <c r="H43" i="249"/>
  <c r="H44" i="249"/>
  <c r="H45" i="249"/>
  <c r="H46" i="249"/>
  <c r="H47" i="249"/>
  <c r="H48" i="249"/>
  <c r="H49" i="249"/>
  <c r="H50" i="249"/>
  <c r="H51" i="249"/>
  <c r="H52" i="249"/>
  <c r="H53" i="249"/>
  <c r="H54" i="249"/>
  <c r="H55" i="249"/>
  <c r="H56" i="249"/>
  <c r="H58" i="249"/>
  <c r="H59" i="249"/>
  <c r="H60" i="249"/>
  <c r="H61" i="249"/>
  <c r="H62" i="249"/>
  <c r="H63" i="249"/>
  <c r="H64" i="249"/>
  <c r="H65" i="249"/>
  <c r="H66" i="249"/>
  <c r="H67" i="249"/>
  <c r="H68" i="249"/>
  <c r="H69" i="249"/>
  <c r="H70" i="249"/>
  <c r="H71" i="249"/>
  <c r="H72" i="249"/>
  <c r="H10" i="249"/>
  <c r="B73" i="249"/>
  <c r="H5" i="249"/>
  <c r="B60" i="242"/>
  <c r="H11" i="242"/>
  <c r="H12" i="242"/>
  <c r="H13" i="242"/>
  <c r="H14" i="242"/>
  <c r="H15" i="242"/>
  <c r="H16" i="242"/>
  <c r="H17" i="242"/>
  <c r="H18" i="242"/>
  <c r="H19" i="242"/>
  <c r="H20" i="242"/>
  <c r="H21" i="242"/>
  <c r="H22" i="242"/>
  <c r="H23" i="242"/>
  <c r="H24" i="242"/>
  <c r="H25" i="242"/>
  <c r="H28" i="242"/>
  <c r="H29" i="242"/>
  <c r="H52" i="242"/>
  <c r="H53" i="242"/>
  <c r="H54" i="242"/>
  <c r="H55" i="242"/>
  <c r="H56" i="242"/>
  <c r="H10" i="242"/>
  <c r="H5" i="242"/>
  <c r="H11" i="171"/>
  <c r="H12" i="171"/>
  <c r="H13" i="171"/>
  <c r="H14" i="171"/>
  <c r="H15" i="171"/>
  <c r="H16" i="171"/>
  <c r="H17" i="171"/>
  <c r="H18" i="171"/>
  <c r="H19" i="171"/>
  <c r="H20" i="171"/>
  <c r="H21" i="171"/>
  <c r="H22" i="171"/>
  <c r="H23" i="171"/>
  <c r="H24" i="171"/>
  <c r="H25" i="171"/>
  <c r="H26" i="171"/>
  <c r="H27" i="171"/>
  <c r="H28" i="171"/>
  <c r="H29" i="171"/>
  <c r="H30" i="171"/>
  <c r="H31" i="171"/>
  <c r="H32" i="171"/>
  <c r="H33" i="171"/>
  <c r="H34" i="171"/>
  <c r="H35" i="171"/>
  <c r="H36" i="171"/>
  <c r="H37" i="171"/>
  <c r="H38" i="171"/>
  <c r="H39" i="171"/>
  <c r="H40" i="171"/>
  <c r="H41" i="171"/>
  <c r="H42" i="171"/>
  <c r="H43" i="171"/>
  <c r="H44" i="171"/>
  <c r="H45" i="171"/>
  <c r="H46" i="171"/>
  <c r="H47" i="171"/>
  <c r="H48" i="171"/>
  <c r="H49" i="171"/>
  <c r="H50" i="171"/>
  <c r="H51" i="171"/>
  <c r="H52" i="171"/>
  <c r="H53" i="171"/>
  <c r="H54" i="171"/>
  <c r="H55" i="171"/>
  <c r="H56" i="171"/>
  <c r="H57" i="171"/>
  <c r="H58" i="171"/>
  <c r="H59" i="171"/>
  <c r="H60" i="171"/>
  <c r="H61" i="171"/>
  <c r="H62" i="171"/>
  <c r="H63" i="171"/>
  <c r="B64" i="171"/>
  <c r="H13" i="235"/>
  <c r="H14" i="235"/>
  <c r="H15" i="235"/>
  <c r="H19" i="235"/>
  <c r="H29" i="235"/>
  <c r="H12" i="235"/>
  <c r="B49" i="213"/>
  <c r="H11" i="192"/>
  <c r="H12" i="192"/>
  <c r="H13" i="192"/>
  <c r="H14" i="192"/>
  <c r="H15" i="192"/>
  <c r="H16" i="192"/>
  <c r="H17" i="192"/>
  <c r="H18" i="192"/>
  <c r="H19" i="192"/>
  <c r="H22" i="192"/>
  <c r="H25" i="192"/>
  <c r="H27" i="192"/>
  <c r="H28" i="192"/>
  <c r="H29" i="192"/>
  <c r="H30" i="192"/>
  <c r="H31" i="192"/>
  <c r="H32" i="192"/>
  <c r="H33" i="192"/>
  <c r="H34" i="192"/>
  <c r="F36" i="192" s="1"/>
  <c r="H36" i="192" s="1"/>
  <c r="H35" i="192"/>
  <c r="H37" i="192"/>
  <c r="H38" i="192"/>
  <c r="F40" i="192" s="1"/>
  <c r="H40" i="192" s="1"/>
  <c r="H39" i="192"/>
  <c r="H48" i="192"/>
  <c r="H10" i="192"/>
  <c r="B49" i="192"/>
  <c r="F26" i="192" l="1"/>
  <c r="H26" i="192" s="1"/>
  <c r="H49" i="192" s="1"/>
  <c r="H75" i="195"/>
  <c r="H1" i="195" s="1"/>
  <c r="K40" i="254" s="1"/>
  <c r="G40" i="254" s="1"/>
  <c r="D42" i="283" s="1"/>
  <c r="B7" i="263"/>
  <c r="B70" i="263"/>
  <c r="B11" i="264" s="1"/>
  <c r="B69" i="261"/>
  <c r="B10" i="264" s="1"/>
  <c r="B7" i="261"/>
  <c r="H66" i="260"/>
  <c r="H60" i="242"/>
  <c r="H1" i="242" s="1"/>
  <c r="K31" i="254" s="1"/>
  <c r="G31" i="254" s="1"/>
  <c r="D32" i="283" s="1"/>
  <c r="G9" i="261" l="1"/>
  <c r="G69" i="261" s="1"/>
  <c r="G10" i="264" s="1"/>
  <c r="G32" i="283"/>
  <c r="K32" i="283"/>
  <c r="G42" i="283"/>
  <c r="K42" i="283"/>
  <c r="H1" i="260"/>
  <c r="E12" i="286" s="1"/>
  <c r="E14" i="286" s="1"/>
  <c r="E9" i="288" s="1"/>
  <c r="H1" i="192"/>
  <c r="C49" i="192" s="1"/>
  <c r="H31" i="235"/>
  <c r="B58" i="167"/>
  <c r="H11" i="167"/>
  <c r="H17" i="167"/>
  <c r="H51" i="167"/>
  <c r="H10" i="167"/>
  <c r="B38" i="166"/>
  <c r="H5" i="166"/>
  <c r="H11" i="166"/>
  <c r="H12" i="166"/>
  <c r="H13" i="166"/>
  <c r="H14" i="166"/>
  <c r="H15" i="166"/>
  <c r="H16" i="166"/>
  <c r="H17" i="166"/>
  <c r="H18" i="166"/>
  <c r="H19" i="166"/>
  <c r="H20" i="166"/>
  <c r="H21" i="166"/>
  <c r="H22" i="166"/>
  <c r="H23" i="166"/>
  <c r="H24" i="166"/>
  <c r="H25" i="166"/>
  <c r="H34" i="166"/>
  <c r="H10" i="166"/>
  <c r="H5" i="213"/>
  <c r="C66" i="260" l="1"/>
  <c r="H1" i="235"/>
  <c r="D58" i="283"/>
  <c r="H31" i="285"/>
  <c r="E31" i="285" s="1"/>
  <c r="K24" i="284"/>
  <c r="G24" i="284"/>
  <c r="H58" i="167"/>
  <c r="H38" i="166"/>
  <c r="H13" i="213"/>
  <c r="H14" i="213"/>
  <c r="H15" i="213"/>
  <c r="H16" i="213"/>
  <c r="H17" i="213"/>
  <c r="H19" i="213"/>
  <c r="H48" i="213"/>
  <c r="E43" i="254"/>
  <c r="D43" i="254"/>
  <c r="C43" i="254"/>
  <c r="C45" i="283" s="1"/>
  <c r="E41" i="254"/>
  <c r="D41" i="254"/>
  <c r="C41" i="254"/>
  <c r="C43" i="283" s="1"/>
  <c r="E40" i="254"/>
  <c r="D40" i="254"/>
  <c r="C40" i="254"/>
  <c r="C42" i="283" s="1"/>
  <c r="E39" i="254"/>
  <c r="D39" i="254"/>
  <c r="C39" i="254"/>
  <c r="C41" i="283" s="1"/>
  <c r="E38" i="254"/>
  <c r="D38" i="254"/>
  <c r="C38" i="254"/>
  <c r="C40" i="283" s="1"/>
  <c r="E37" i="254"/>
  <c r="D37" i="254"/>
  <c r="E36" i="254"/>
  <c r="D36" i="254"/>
  <c r="E35" i="254"/>
  <c r="D35" i="254"/>
  <c r="E34" i="254"/>
  <c r="D34" i="254"/>
  <c r="E33" i="254"/>
  <c r="D33" i="254"/>
  <c r="E32" i="254"/>
  <c r="D32" i="254"/>
  <c r="E31" i="254"/>
  <c r="D31" i="254"/>
  <c r="E30" i="254"/>
  <c r="D30" i="254"/>
  <c r="E29" i="254"/>
  <c r="D29" i="254"/>
  <c r="E28" i="254"/>
  <c r="D28" i="254"/>
  <c r="C28" i="254"/>
  <c r="C29" i="283" s="1"/>
  <c r="E27" i="254"/>
  <c r="D27" i="254"/>
  <c r="C27" i="254"/>
  <c r="C28" i="283" s="1"/>
  <c r="E26" i="254"/>
  <c r="D26" i="254"/>
  <c r="C26" i="254"/>
  <c r="C27" i="283" s="1"/>
  <c r="E25" i="254"/>
  <c r="D25" i="254"/>
  <c r="C25" i="254"/>
  <c r="C26" i="283" s="1"/>
  <c r="E24" i="254"/>
  <c r="D24" i="254"/>
  <c r="C24" i="254"/>
  <c r="C25" i="283" s="1"/>
  <c r="E23" i="254"/>
  <c r="D23" i="254"/>
  <c r="E22" i="254"/>
  <c r="D22" i="254"/>
  <c r="E21" i="254"/>
  <c r="D21" i="254"/>
  <c r="C21" i="254"/>
  <c r="C22" i="283" s="1"/>
  <c r="E20" i="254"/>
  <c r="D20" i="254"/>
  <c r="C20" i="254"/>
  <c r="C21" i="283" s="1"/>
  <c r="E19" i="254"/>
  <c r="D19" i="254"/>
  <c r="C19" i="254"/>
  <c r="C20" i="283" s="1"/>
  <c r="E18" i="254"/>
  <c r="D18" i="254"/>
  <c r="C18" i="254"/>
  <c r="C19" i="283" s="1"/>
  <c r="E17" i="254"/>
  <c r="D17" i="254"/>
  <c r="C17" i="254"/>
  <c r="C18" i="283" s="1"/>
  <c r="E16" i="254"/>
  <c r="D16" i="254"/>
  <c r="C16" i="254"/>
  <c r="C17" i="283" s="1"/>
  <c r="E15" i="254"/>
  <c r="D15" i="254"/>
  <c r="C15" i="254"/>
  <c r="C16" i="283" s="1"/>
  <c r="E14" i="254"/>
  <c r="D14" i="254"/>
  <c r="C14" i="254"/>
  <c r="C15" i="283" s="1"/>
  <c r="E13" i="254"/>
  <c r="D13" i="254"/>
  <c r="C13" i="254"/>
  <c r="C14" i="283" s="1"/>
  <c r="E12" i="254"/>
  <c r="D12" i="254"/>
  <c r="C12" i="254"/>
  <c r="C13" i="283" s="1"/>
  <c r="E11" i="254"/>
  <c r="D11" i="254"/>
  <c r="C11" i="254"/>
  <c r="C12" i="283" s="1"/>
  <c r="E10" i="254"/>
  <c r="D10" i="254"/>
  <c r="C10" i="254"/>
  <c r="C10" i="283" s="1"/>
  <c r="B43" i="254"/>
  <c r="B45" i="283" s="1"/>
  <c r="B40" i="254"/>
  <c r="B42" i="283" s="1"/>
  <c r="B28" i="254"/>
  <c r="B29" i="283" s="1"/>
  <c r="B26" i="254"/>
  <c r="B27" i="283" s="1"/>
  <c r="B27" i="254"/>
  <c r="B28" i="283" s="1"/>
  <c r="B25" i="254"/>
  <c r="B26" i="283" s="1"/>
  <c r="B24" i="254"/>
  <c r="B25" i="283" s="1"/>
  <c r="B21" i="254"/>
  <c r="B22" i="283" s="1"/>
  <c r="B19" i="254"/>
  <c r="B20" i="283" s="1"/>
  <c r="B18" i="254"/>
  <c r="B19" i="283" s="1"/>
  <c r="B20" i="254"/>
  <c r="B21" i="283" s="1"/>
  <c r="B17" i="254"/>
  <c r="B18" i="283" s="1"/>
  <c r="B16" i="254"/>
  <c r="B17" i="283" s="1"/>
  <c r="B15" i="254"/>
  <c r="B16" i="283" s="1"/>
  <c r="B14" i="254"/>
  <c r="B15" i="283" s="1"/>
  <c r="B13" i="254"/>
  <c r="B14" i="283" s="1"/>
  <c r="B12" i="254"/>
  <c r="B13" i="283" s="1"/>
  <c r="B11" i="254"/>
  <c r="B12" i="283" s="1"/>
  <c r="B9" i="254"/>
  <c r="B8" i="283" s="1"/>
  <c r="B10" i="254"/>
  <c r="B10" i="283" s="1"/>
  <c r="B4" i="254"/>
  <c r="B2" i="254"/>
  <c r="F1" i="254"/>
  <c r="B1" i="254"/>
  <c r="H59" i="212"/>
  <c r="H60" i="212"/>
  <c r="H61" i="212"/>
  <c r="H62" i="212"/>
  <c r="H63" i="212"/>
  <c r="H11" i="212"/>
  <c r="H12" i="212"/>
  <c r="H13" i="212"/>
  <c r="B64" i="212"/>
  <c r="H1" i="166" l="1"/>
  <c r="H1" i="167"/>
  <c r="H23" i="285"/>
  <c r="E23" i="285" s="1"/>
  <c r="K19" i="284"/>
  <c r="K23" i="254"/>
  <c r="C31" i="235"/>
  <c r="H5" i="212"/>
  <c r="B65" i="211"/>
  <c r="H11" i="211"/>
  <c r="H12" i="211"/>
  <c r="H64" i="211"/>
  <c r="H94" i="207"/>
  <c r="H71" i="207"/>
  <c r="H11" i="207"/>
  <c r="H12" i="207"/>
  <c r="H13" i="207"/>
  <c r="H14" i="207"/>
  <c r="H15" i="207"/>
  <c r="H16" i="207"/>
  <c r="H17" i="207"/>
  <c r="H18" i="207"/>
  <c r="H19" i="207"/>
  <c r="H20" i="207"/>
  <c r="H21" i="207"/>
  <c r="H22" i="207"/>
  <c r="H23" i="207"/>
  <c r="H24" i="207"/>
  <c r="H25" i="207"/>
  <c r="H26" i="207"/>
  <c r="H27" i="207"/>
  <c r="H28" i="207"/>
  <c r="H29" i="207"/>
  <c r="H30" i="207"/>
  <c r="H31" i="207"/>
  <c r="H32" i="207"/>
  <c r="H60" i="207"/>
  <c r="H10" i="207"/>
  <c r="B66" i="207"/>
  <c r="B63" i="207"/>
  <c r="F62" i="207"/>
  <c r="B62" i="207"/>
  <c r="B61" i="207"/>
  <c r="B130" i="209"/>
  <c r="B68" i="209"/>
  <c r="B65" i="209"/>
  <c r="F64" i="209"/>
  <c r="B64" i="209"/>
  <c r="H74" i="209"/>
  <c r="H75" i="209"/>
  <c r="H76" i="209"/>
  <c r="H77" i="209"/>
  <c r="H78" i="209"/>
  <c r="H79" i="209"/>
  <c r="H80" i="209"/>
  <c r="H10" i="209"/>
  <c r="H11" i="209"/>
  <c r="H12" i="209"/>
  <c r="H13" i="209"/>
  <c r="H14" i="209"/>
  <c r="H15" i="209"/>
  <c r="H16" i="209"/>
  <c r="H17" i="209"/>
  <c r="H18" i="209"/>
  <c r="H19" i="209"/>
  <c r="H20" i="209"/>
  <c r="H21" i="209"/>
  <c r="H22" i="209"/>
  <c r="H23" i="209"/>
  <c r="H24" i="209"/>
  <c r="H25" i="209"/>
  <c r="H26" i="209"/>
  <c r="H27" i="209"/>
  <c r="H28" i="209"/>
  <c r="H29" i="209"/>
  <c r="H30" i="209"/>
  <c r="H31" i="209"/>
  <c r="H32" i="209"/>
  <c r="H34" i="209"/>
  <c r="H35" i="209"/>
  <c r="H36" i="209"/>
  <c r="H52" i="209"/>
  <c r="H53" i="209"/>
  <c r="H54" i="209"/>
  <c r="H5" i="209"/>
  <c r="H67" i="209" s="1"/>
  <c r="B63" i="209"/>
  <c r="B114" i="208"/>
  <c r="H68" i="208"/>
  <c r="H69" i="208"/>
  <c r="H70" i="208"/>
  <c r="H67" i="208"/>
  <c r="H11" i="208"/>
  <c r="H12" i="208"/>
  <c r="H13" i="208"/>
  <c r="H14" i="208"/>
  <c r="H15" i="208"/>
  <c r="H16" i="208"/>
  <c r="H17" i="208"/>
  <c r="H18" i="208"/>
  <c r="H19" i="208"/>
  <c r="H20" i="208"/>
  <c r="H21" i="208"/>
  <c r="H22" i="208"/>
  <c r="H23" i="208"/>
  <c r="H24" i="208"/>
  <c r="H25" i="208"/>
  <c r="H26" i="208"/>
  <c r="H27" i="208"/>
  <c r="H28" i="208"/>
  <c r="H29" i="208"/>
  <c r="H30" i="208"/>
  <c r="H31" i="208"/>
  <c r="H32" i="208"/>
  <c r="H56" i="208"/>
  <c r="H10" i="208"/>
  <c r="B62" i="208"/>
  <c r="B59" i="208"/>
  <c r="F58" i="208"/>
  <c r="B58" i="208"/>
  <c r="B57" i="208"/>
  <c r="B46" i="238"/>
  <c r="H5" i="238"/>
  <c r="H11" i="237"/>
  <c r="H12" i="237"/>
  <c r="H13" i="237"/>
  <c r="H14" i="237"/>
  <c r="H15" i="237"/>
  <c r="H16" i="237"/>
  <c r="H17" i="237"/>
  <c r="F19" i="237" s="1"/>
  <c r="H19" i="237" s="1"/>
  <c r="H18" i="237"/>
  <c r="H20" i="237"/>
  <c r="H21" i="237"/>
  <c r="H22" i="237"/>
  <c r="H42" i="237"/>
  <c r="H43" i="237"/>
  <c r="H44" i="237"/>
  <c r="H45" i="237"/>
  <c r="H10" i="237"/>
  <c r="B46" i="237"/>
  <c r="H5" i="237"/>
  <c r="H24" i="285" l="1"/>
  <c r="E24" i="285" s="1"/>
  <c r="K20" i="284"/>
  <c r="G20" i="284" s="1"/>
  <c r="K24" i="254"/>
  <c r="G24" i="254" s="1"/>
  <c r="D25" i="283" s="1"/>
  <c r="C38" i="166"/>
  <c r="H25" i="285"/>
  <c r="E25" i="285" s="1"/>
  <c r="K21" i="284"/>
  <c r="K25" i="254"/>
  <c r="C58" i="167"/>
  <c r="G23" i="254"/>
  <c r="D24" i="283" s="1"/>
  <c r="K24" i="283" s="1"/>
  <c r="Q23" i="254"/>
  <c r="G19" i="284"/>
  <c r="H63" i="209"/>
  <c r="H65" i="211"/>
  <c r="H57" i="208"/>
  <c r="H46" i="237"/>
  <c r="B6" i="159"/>
  <c r="B6" i="161"/>
  <c r="B6" i="162"/>
  <c r="B6" i="163"/>
  <c r="B6" i="164"/>
  <c r="B6" i="237"/>
  <c r="B6" i="238"/>
  <c r="B6" i="208"/>
  <c r="B6" i="209"/>
  <c r="B6" i="207"/>
  <c r="B6" i="211"/>
  <c r="B6" i="212"/>
  <c r="B6" i="213"/>
  <c r="B6" i="166"/>
  <c r="B6" i="167"/>
  <c r="B6" i="168"/>
  <c r="B6" i="169"/>
  <c r="B6" i="171"/>
  <c r="B6" i="250"/>
  <c r="B6" i="241"/>
  <c r="B6" i="242"/>
  <c r="B6" i="244"/>
  <c r="B6" i="245"/>
  <c r="B6" i="246"/>
  <c r="B6" i="247"/>
  <c r="B6" i="248"/>
  <c r="B6" i="249"/>
  <c r="B6" i="193"/>
  <c r="B6" i="194"/>
  <c r="B6" i="195"/>
  <c r="B6" i="196"/>
  <c r="B6" i="200"/>
  <c r="B6" i="192"/>
  <c r="B6" i="165"/>
  <c r="H5" i="159"/>
  <c r="H5" i="161"/>
  <c r="H5" i="162"/>
  <c r="H5" i="163"/>
  <c r="H5" i="164"/>
  <c r="H5" i="208"/>
  <c r="H5" i="207"/>
  <c r="H5" i="211"/>
  <c r="H5" i="167"/>
  <c r="H5" i="168"/>
  <c r="H5" i="169"/>
  <c r="H5" i="171"/>
  <c r="H67" i="246"/>
  <c r="H5" i="193"/>
  <c r="H5" i="194"/>
  <c r="H5" i="195"/>
  <c r="H5" i="196"/>
  <c r="H5" i="200"/>
  <c r="H5" i="192"/>
  <c r="H5" i="165"/>
  <c r="B3" i="159"/>
  <c r="B3" i="161"/>
  <c r="B3" i="162"/>
  <c r="B3" i="163"/>
  <c r="B3" i="164"/>
  <c r="B3" i="237"/>
  <c r="B3" i="238"/>
  <c r="B3" i="208"/>
  <c r="B3" i="209"/>
  <c r="B3" i="207"/>
  <c r="B3" i="211"/>
  <c r="B3" i="212"/>
  <c r="B3" i="213"/>
  <c r="B3" i="166"/>
  <c r="B3" i="167"/>
  <c r="B3" i="168"/>
  <c r="B3" i="169"/>
  <c r="B3" i="171"/>
  <c r="B3" i="250"/>
  <c r="B3" i="241"/>
  <c r="B3" i="242"/>
  <c r="B3" i="244"/>
  <c r="B3" i="245"/>
  <c r="B3" i="246"/>
  <c r="B3" i="247"/>
  <c r="B3" i="248"/>
  <c r="B3" i="249"/>
  <c r="B3" i="193"/>
  <c r="B3" i="194"/>
  <c r="B3" i="195"/>
  <c r="B3" i="196"/>
  <c r="B3" i="200"/>
  <c r="B3" i="192"/>
  <c r="B3" i="165"/>
  <c r="B2" i="159"/>
  <c r="B2" i="161"/>
  <c r="B2" i="162"/>
  <c r="B2" i="163"/>
  <c r="B2" i="164"/>
  <c r="B2" i="237"/>
  <c r="B2" i="238"/>
  <c r="B2" i="208"/>
  <c r="B2" i="209"/>
  <c r="B2" i="207"/>
  <c r="B2" i="211"/>
  <c r="B2" i="212"/>
  <c r="B2" i="213"/>
  <c r="B2" i="166"/>
  <c r="B2" i="167"/>
  <c r="B2" i="168"/>
  <c r="B2" i="169"/>
  <c r="B2" i="171"/>
  <c r="B2" i="250"/>
  <c r="B2" i="241"/>
  <c r="B2" i="242"/>
  <c r="B2" i="244"/>
  <c r="B2" i="245"/>
  <c r="B2" i="246"/>
  <c r="B2" i="247"/>
  <c r="B2" i="248"/>
  <c r="B2" i="249"/>
  <c r="B2" i="193"/>
  <c r="B2" i="194"/>
  <c r="B2" i="195"/>
  <c r="B2" i="196"/>
  <c r="B2" i="200"/>
  <c r="B2" i="192"/>
  <c r="B2" i="165"/>
  <c r="F2" i="159"/>
  <c r="F2" i="161"/>
  <c r="F2" i="162"/>
  <c r="F2" i="163"/>
  <c r="F2" i="164"/>
  <c r="F2" i="237"/>
  <c r="F2" i="238"/>
  <c r="F2" i="208"/>
  <c r="F2" i="209"/>
  <c r="F2" i="207"/>
  <c r="F2" i="211"/>
  <c r="F2" i="212"/>
  <c r="F2" i="213"/>
  <c r="F2" i="166"/>
  <c r="F2" i="167"/>
  <c r="F2" i="168"/>
  <c r="F2" i="169"/>
  <c r="F2" i="171"/>
  <c r="F2" i="250"/>
  <c r="F2" i="241"/>
  <c r="F2" i="242"/>
  <c r="F2" i="244"/>
  <c r="F2" i="245"/>
  <c r="F2" i="246"/>
  <c r="F2" i="247"/>
  <c r="F2" i="248"/>
  <c r="F2" i="249"/>
  <c r="F2" i="193"/>
  <c r="F2" i="194"/>
  <c r="F2" i="195"/>
  <c r="F2" i="196"/>
  <c r="F2" i="200"/>
  <c r="F2" i="192"/>
  <c r="F2" i="165"/>
  <c r="B67" i="165"/>
  <c r="H11" i="165"/>
  <c r="H12" i="165"/>
  <c r="H13" i="165"/>
  <c r="H14" i="165"/>
  <c r="H15" i="165"/>
  <c r="H16" i="165"/>
  <c r="H17" i="165"/>
  <c r="H18" i="165"/>
  <c r="H19" i="165"/>
  <c r="H20" i="165"/>
  <c r="H21" i="165"/>
  <c r="H22" i="165"/>
  <c r="H23" i="165"/>
  <c r="H24" i="165"/>
  <c r="H25" i="165"/>
  <c r="H27" i="165"/>
  <c r="H28" i="165"/>
  <c r="H29" i="165"/>
  <c r="H30" i="165"/>
  <c r="H31" i="165"/>
  <c r="H32" i="165"/>
  <c r="H33" i="165"/>
  <c r="H34" i="165"/>
  <c r="H35" i="165"/>
  <c r="H36" i="165"/>
  <c r="H37" i="165"/>
  <c r="H38" i="165"/>
  <c r="H39" i="165"/>
  <c r="H40" i="165"/>
  <c r="H41" i="165"/>
  <c r="H42" i="165"/>
  <c r="H43" i="165"/>
  <c r="H44" i="165"/>
  <c r="H45" i="165"/>
  <c r="H46" i="165"/>
  <c r="H47" i="165"/>
  <c r="H48" i="165"/>
  <c r="H49" i="165"/>
  <c r="H50" i="165"/>
  <c r="H51" i="165"/>
  <c r="H52" i="165"/>
  <c r="H53" i="165"/>
  <c r="H54" i="165"/>
  <c r="H55" i="165"/>
  <c r="H56" i="165"/>
  <c r="H57" i="165"/>
  <c r="H58" i="165"/>
  <c r="H59" i="165"/>
  <c r="H60" i="165"/>
  <c r="H61" i="165"/>
  <c r="H10" i="165"/>
  <c r="H34" i="164"/>
  <c r="H35" i="164"/>
  <c r="H36" i="164"/>
  <c r="H37" i="164"/>
  <c r="H38" i="164"/>
  <c r="H10" i="250"/>
  <c r="H45" i="250" s="1"/>
  <c r="H11" i="248"/>
  <c r="H12" i="248"/>
  <c r="H13" i="248"/>
  <c r="H14" i="248"/>
  <c r="H15" i="248"/>
  <c r="H16" i="248"/>
  <c r="H17" i="248"/>
  <c r="H18" i="248"/>
  <c r="H19" i="248"/>
  <c r="H20" i="248"/>
  <c r="H21" i="248"/>
  <c r="H22" i="248"/>
  <c r="H23" i="248"/>
  <c r="H24" i="248"/>
  <c r="H25" i="248"/>
  <c r="H26" i="248"/>
  <c r="H27" i="248"/>
  <c r="H28" i="248"/>
  <c r="H29" i="248"/>
  <c r="H30" i="248"/>
  <c r="H31" i="248"/>
  <c r="H33" i="248"/>
  <c r="H63" i="248"/>
  <c r="H10" i="247"/>
  <c r="H11" i="247"/>
  <c r="H12" i="247"/>
  <c r="H64" i="247"/>
  <c r="H10" i="246"/>
  <c r="H11" i="246"/>
  <c r="H12" i="246"/>
  <c r="H13" i="246"/>
  <c r="H14" i="246"/>
  <c r="H15" i="246"/>
  <c r="H16" i="246"/>
  <c r="H17" i="246"/>
  <c r="H18" i="246"/>
  <c r="H19" i="246"/>
  <c r="H20" i="246"/>
  <c r="H21" i="246"/>
  <c r="H74" i="246"/>
  <c r="H75" i="246"/>
  <c r="H76" i="246"/>
  <c r="H77" i="246"/>
  <c r="H78" i="246"/>
  <c r="H79" i="246"/>
  <c r="H80" i="246"/>
  <c r="H81" i="246"/>
  <c r="H82" i="246"/>
  <c r="H83" i="246"/>
  <c r="H84" i="246"/>
  <c r="H85" i="246"/>
  <c r="H86" i="246"/>
  <c r="H87" i="246"/>
  <c r="H88" i="246"/>
  <c r="H89" i="246"/>
  <c r="H90" i="246"/>
  <c r="H10" i="245"/>
  <c r="H13" i="245"/>
  <c r="H14" i="245"/>
  <c r="H15" i="245"/>
  <c r="H16" i="245"/>
  <c r="H17" i="245"/>
  <c r="H18" i="245"/>
  <c r="H19" i="245"/>
  <c r="H20" i="245"/>
  <c r="H24" i="245"/>
  <c r="H25" i="245"/>
  <c r="H26" i="245"/>
  <c r="H27" i="245"/>
  <c r="H28" i="245"/>
  <c r="H29" i="245"/>
  <c r="H30" i="245"/>
  <c r="H31" i="245"/>
  <c r="H32" i="245"/>
  <c r="H53" i="245"/>
  <c r="H17" i="244"/>
  <c r="H18" i="244"/>
  <c r="H19" i="244"/>
  <c r="H22" i="244"/>
  <c r="H23" i="244"/>
  <c r="H24" i="244"/>
  <c r="H25" i="244"/>
  <c r="H26" i="244"/>
  <c r="H27" i="244"/>
  <c r="H28" i="244"/>
  <c r="H29" i="244"/>
  <c r="H30" i="244"/>
  <c r="H48" i="244"/>
  <c r="H10" i="241"/>
  <c r="H11" i="241"/>
  <c r="H12" i="241"/>
  <c r="H13" i="241"/>
  <c r="H14" i="241"/>
  <c r="H15" i="241"/>
  <c r="H16" i="241"/>
  <c r="H17" i="241"/>
  <c r="H18" i="241"/>
  <c r="H19" i="241"/>
  <c r="H20" i="241"/>
  <c r="H21" i="241"/>
  <c r="H22" i="241"/>
  <c r="H23" i="241"/>
  <c r="H24" i="241"/>
  <c r="H25" i="241"/>
  <c r="H59" i="241"/>
  <c r="Q19" i="284" l="1"/>
  <c r="K25" i="283"/>
  <c r="G25" i="283"/>
  <c r="H165" i="162"/>
  <c r="H117" i="162"/>
  <c r="H1" i="250"/>
  <c r="C45" i="250" s="1"/>
  <c r="H72" i="209"/>
  <c r="H130" i="209" s="1"/>
  <c r="G25" i="254"/>
  <c r="D26" i="283" s="1"/>
  <c r="K26" i="283" s="1"/>
  <c r="Q24" i="254"/>
  <c r="G21" i="284"/>
  <c r="Q20" i="284"/>
  <c r="H66" i="208"/>
  <c r="H114" i="208" s="1"/>
  <c r="H1" i="237"/>
  <c r="G24" i="283"/>
  <c r="H63" i="246"/>
  <c r="H72" i="246" s="1"/>
  <c r="H65" i="247"/>
  <c r="H1" i="247" s="1"/>
  <c r="K35" i="254" s="1"/>
  <c r="G35" i="254" s="1"/>
  <c r="D36" i="283" s="1"/>
  <c r="H64" i="248"/>
  <c r="H54" i="245"/>
  <c r="H1" i="245" s="1"/>
  <c r="K33" i="254" s="1"/>
  <c r="H49" i="244"/>
  <c r="H1" i="244" s="1"/>
  <c r="K32" i="254" s="1"/>
  <c r="H60" i="241"/>
  <c r="H1" i="241" s="1"/>
  <c r="K30" i="254" s="1"/>
  <c r="H73" i="249"/>
  <c r="H1" i="249" s="1"/>
  <c r="K37" i="254" s="1"/>
  <c r="G37" i="254" s="1"/>
  <c r="D38" i="283" s="1"/>
  <c r="H65" i="207"/>
  <c r="H61" i="208"/>
  <c r="H10" i="238"/>
  <c r="H11" i="238"/>
  <c r="H12" i="238"/>
  <c r="H13" i="238"/>
  <c r="H14" i="238"/>
  <c r="H15" i="238"/>
  <c r="H16" i="238"/>
  <c r="H17" i="238"/>
  <c r="H18" i="238"/>
  <c r="H19" i="238"/>
  <c r="H20" i="238"/>
  <c r="H21" i="238"/>
  <c r="H22" i="238"/>
  <c r="H23" i="238"/>
  <c r="H24" i="238"/>
  <c r="H25" i="238"/>
  <c r="H45" i="238"/>
  <c r="H1" i="209" l="1"/>
  <c r="K18" i="254" s="1"/>
  <c r="H1" i="208"/>
  <c r="K17" i="254" s="1"/>
  <c r="G17" i="254" s="1"/>
  <c r="D18" i="283" s="1"/>
  <c r="K38" i="283"/>
  <c r="G38" i="283"/>
  <c r="G36" i="283"/>
  <c r="K36" i="283"/>
  <c r="K29" i="254"/>
  <c r="G29" i="254" s="1"/>
  <c r="D30" i="283" s="1"/>
  <c r="K30" i="283" s="1"/>
  <c r="E29" i="285"/>
  <c r="G18" i="254"/>
  <c r="D19" i="283" s="1"/>
  <c r="G26" i="283"/>
  <c r="H1" i="248"/>
  <c r="K36" i="254" s="1"/>
  <c r="G33" i="254"/>
  <c r="D34" i="283" s="1"/>
  <c r="K34" i="283" s="1"/>
  <c r="Q32" i="254"/>
  <c r="G32" i="254"/>
  <c r="D33" i="283" s="1"/>
  <c r="K33" i="283" s="1"/>
  <c r="Q31" i="254"/>
  <c r="G30" i="254"/>
  <c r="D31" i="283" s="1"/>
  <c r="K31" i="283" s="1"/>
  <c r="Q30" i="254"/>
  <c r="Q17" i="254"/>
  <c r="H18" i="285"/>
  <c r="E18" i="285" s="1"/>
  <c r="K14" i="284"/>
  <c r="K15" i="254"/>
  <c r="C46" i="237"/>
  <c r="H46" i="238"/>
  <c r="H1" i="238" l="1"/>
  <c r="Q29" i="254"/>
  <c r="G30" i="283"/>
  <c r="G19" i="283"/>
  <c r="K19" i="283"/>
  <c r="G36" i="254"/>
  <c r="D37" i="283" s="1"/>
  <c r="Q35" i="254"/>
  <c r="Q36" i="254"/>
  <c r="G34" i="283"/>
  <c r="G33" i="283"/>
  <c r="G31" i="283"/>
  <c r="G18" i="283"/>
  <c r="K18" i="283"/>
  <c r="G14" i="284"/>
  <c r="G15" i="254"/>
  <c r="D16" i="283" s="1"/>
  <c r="H116" i="246"/>
  <c r="H19" i="285" l="1"/>
  <c r="E19" i="285" s="1"/>
  <c r="K15" i="284"/>
  <c r="K16" i="254"/>
  <c r="C46" i="238"/>
  <c r="G37" i="283"/>
  <c r="K37" i="283"/>
  <c r="H1" i="246"/>
  <c r="G16" i="283"/>
  <c r="K16" i="283"/>
  <c r="H11" i="164"/>
  <c r="H12" i="164"/>
  <c r="H13" i="164"/>
  <c r="H14" i="164"/>
  <c r="H15" i="164"/>
  <c r="H16" i="164"/>
  <c r="H17" i="164"/>
  <c r="H19" i="164"/>
  <c r="H20" i="164"/>
  <c r="H21" i="164"/>
  <c r="H22" i="164"/>
  <c r="H23" i="164"/>
  <c r="H24" i="164"/>
  <c r="H25" i="164"/>
  <c r="H26" i="164"/>
  <c r="H27" i="164"/>
  <c r="H28" i="164"/>
  <c r="H29" i="164"/>
  <c r="H30" i="164"/>
  <c r="H31" i="164"/>
  <c r="H32" i="164"/>
  <c r="H33" i="164"/>
  <c r="H47" i="164"/>
  <c r="H10" i="164"/>
  <c r="B48" i="164"/>
  <c r="B123" i="163"/>
  <c r="B77" i="163"/>
  <c r="B74" i="163"/>
  <c r="F73" i="163"/>
  <c r="B73" i="163"/>
  <c r="B72" i="163"/>
  <c r="H11" i="163"/>
  <c r="H12" i="163"/>
  <c r="H13" i="163"/>
  <c r="H14" i="163"/>
  <c r="H15" i="163"/>
  <c r="H16" i="163"/>
  <c r="H17" i="163"/>
  <c r="H19" i="163"/>
  <c r="H71" i="163"/>
  <c r="H172" i="162"/>
  <c r="H173" i="162"/>
  <c r="H174" i="162"/>
  <c r="H175" i="162"/>
  <c r="H176" i="162"/>
  <c r="H177" i="162"/>
  <c r="H178" i="162"/>
  <c r="H179" i="162"/>
  <c r="H180" i="162"/>
  <c r="H181" i="162"/>
  <c r="H182" i="162"/>
  <c r="H183" i="162"/>
  <c r="H184" i="162"/>
  <c r="H185" i="162"/>
  <c r="H186" i="162"/>
  <c r="H187" i="162"/>
  <c r="H188" i="162"/>
  <c r="H189" i="162"/>
  <c r="H190" i="162"/>
  <c r="H191" i="162"/>
  <c r="H192" i="162"/>
  <c r="H193" i="162"/>
  <c r="H194" i="162"/>
  <c r="H195" i="162"/>
  <c r="H196" i="162"/>
  <c r="H198" i="162"/>
  <c r="H199" i="162"/>
  <c r="H200" i="162"/>
  <c r="H201" i="162"/>
  <c r="H202" i="162"/>
  <c r="H203" i="162"/>
  <c r="H204" i="162"/>
  <c r="H205" i="162"/>
  <c r="H206" i="162"/>
  <c r="H207" i="162"/>
  <c r="H208" i="162"/>
  <c r="H209" i="162"/>
  <c r="H210" i="162"/>
  <c r="H211" i="162"/>
  <c r="H212" i="162"/>
  <c r="H213" i="162"/>
  <c r="H171" i="162"/>
  <c r="H124" i="162"/>
  <c r="H125" i="162"/>
  <c r="H126" i="162"/>
  <c r="H127" i="162"/>
  <c r="H128" i="162"/>
  <c r="H129" i="162"/>
  <c r="H130" i="162"/>
  <c r="H131" i="162"/>
  <c r="H132" i="162"/>
  <c r="H133" i="162"/>
  <c r="H134" i="162"/>
  <c r="H135" i="162"/>
  <c r="H136" i="162"/>
  <c r="F138" i="162" s="1"/>
  <c r="H138" i="162" s="1"/>
  <c r="H137" i="162"/>
  <c r="H139" i="162"/>
  <c r="H140" i="162"/>
  <c r="F142" i="162" s="1"/>
  <c r="H142" i="162" s="1"/>
  <c r="H141" i="162"/>
  <c r="H143" i="162"/>
  <c r="H144" i="162"/>
  <c r="F146" i="162" s="1"/>
  <c r="H146" i="162" s="1"/>
  <c r="H145" i="162"/>
  <c r="H147" i="162"/>
  <c r="H148" i="162"/>
  <c r="F150" i="162" s="1"/>
  <c r="H150" i="162" s="1"/>
  <c r="H149" i="162"/>
  <c r="H151" i="162"/>
  <c r="H155" i="162"/>
  <c r="H156" i="162"/>
  <c r="F158" i="162" s="1"/>
  <c r="H158" i="162" s="1"/>
  <c r="H157" i="162"/>
  <c r="H159" i="162"/>
  <c r="H160" i="162"/>
  <c r="H123" i="162"/>
  <c r="H84" i="162"/>
  <c r="H85" i="162"/>
  <c r="H86" i="162"/>
  <c r="H87" i="162"/>
  <c r="H88" i="162"/>
  <c r="H89" i="162"/>
  <c r="H90" i="162"/>
  <c r="H91" i="162"/>
  <c r="H92" i="162"/>
  <c r="H93" i="162"/>
  <c r="H94" i="162"/>
  <c r="H95" i="162"/>
  <c r="H96" i="162"/>
  <c r="H97" i="162"/>
  <c r="H98" i="162"/>
  <c r="H99" i="162"/>
  <c r="H100" i="162"/>
  <c r="H101" i="162"/>
  <c r="H102" i="162"/>
  <c r="H103" i="162"/>
  <c r="H104" i="162"/>
  <c r="H105" i="162"/>
  <c r="H106" i="162"/>
  <c r="H107" i="162"/>
  <c r="H108" i="162"/>
  <c r="H109" i="162"/>
  <c r="H110" i="162"/>
  <c r="H111" i="162"/>
  <c r="H112" i="162"/>
  <c r="H62" i="162"/>
  <c r="H63" i="162"/>
  <c r="H64" i="162"/>
  <c r="H65" i="162"/>
  <c r="H66" i="162"/>
  <c r="H67" i="162"/>
  <c r="H68" i="162"/>
  <c r="H69" i="162"/>
  <c r="H70" i="162"/>
  <c r="H71" i="162"/>
  <c r="H72" i="162"/>
  <c r="H73" i="162"/>
  <c r="H74" i="162"/>
  <c r="H75" i="162"/>
  <c r="H76" i="162"/>
  <c r="H77" i="162"/>
  <c r="H78" i="162"/>
  <c r="H79" i="162"/>
  <c r="H80" i="162"/>
  <c r="H81" i="162"/>
  <c r="H82" i="162"/>
  <c r="H11" i="162"/>
  <c r="H12" i="162"/>
  <c r="H13" i="162"/>
  <c r="H14" i="162"/>
  <c r="H15" i="162"/>
  <c r="H16" i="162"/>
  <c r="H17" i="162"/>
  <c r="H18" i="162"/>
  <c r="H19" i="162"/>
  <c r="H20" i="162"/>
  <c r="H21" i="162"/>
  <c r="H22" i="162"/>
  <c r="H23" i="162"/>
  <c r="H24" i="162"/>
  <c r="H25" i="162"/>
  <c r="F27" i="162" s="1"/>
  <c r="H27" i="162" s="1"/>
  <c r="H26" i="162"/>
  <c r="H28" i="162"/>
  <c r="H29" i="162"/>
  <c r="H30" i="162"/>
  <c r="H31" i="162"/>
  <c r="H32" i="162"/>
  <c r="H33" i="162"/>
  <c r="H34" i="162"/>
  <c r="H35" i="162"/>
  <c r="H36" i="162"/>
  <c r="H37" i="162"/>
  <c r="H38" i="162"/>
  <c r="H44" i="162"/>
  <c r="H45" i="162"/>
  <c r="H46" i="162"/>
  <c r="H47" i="162"/>
  <c r="H48" i="162"/>
  <c r="H49" i="162"/>
  <c r="H50" i="162"/>
  <c r="H51" i="162"/>
  <c r="B166" i="162"/>
  <c r="B163" i="162"/>
  <c r="F162" i="162"/>
  <c r="B162" i="162"/>
  <c r="B161" i="162"/>
  <c r="B113" i="162"/>
  <c r="B52" i="162"/>
  <c r="B118" i="162"/>
  <c r="B115" i="162"/>
  <c r="F114" i="162"/>
  <c r="B114" i="162"/>
  <c r="B57" i="162"/>
  <c r="B54" i="162"/>
  <c r="F53" i="162"/>
  <c r="B53" i="162"/>
  <c r="H56" i="162"/>
  <c r="H76" i="163"/>
  <c r="H67" i="165"/>
  <c r="B61" i="159"/>
  <c r="B106" i="159" s="1"/>
  <c r="B58" i="159"/>
  <c r="F57" i="159"/>
  <c r="B57" i="159"/>
  <c r="H15" i="159"/>
  <c r="G16" i="254" l="1"/>
  <c r="D17" i="283" s="1"/>
  <c r="Q16" i="254"/>
  <c r="Q15" i="254"/>
  <c r="G15" i="284"/>
  <c r="Q15" i="284"/>
  <c r="Q14" i="284"/>
  <c r="H1" i="165"/>
  <c r="C67" i="165" s="1"/>
  <c r="K34" i="254"/>
  <c r="E30" i="285"/>
  <c r="C116" i="246"/>
  <c r="H48" i="164"/>
  <c r="H1" i="164" s="1"/>
  <c r="K13" i="254" s="1"/>
  <c r="G17" i="283" l="1"/>
  <c r="K17" i="283"/>
  <c r="H17" i="285"/>
  <c r="E17" i="285" s="1"/>
  <c r="K14" i="254"/>
  <c r="Q13" i="254" s="1"/>
  <c r="K13" i="284"/>
  <c r="G34" i="254"/>
  <c r="D35" i="283" s="1"/>
  <c r="Q34" i="254"/>
  <c r="Q33" i="254"/>
  <c r="G13" i="254"/>
  <c r="D14" i="283" s="1"/>
  <c r="H10" i="212"/>
  <c r="H10" i="211"/>
  <c r="H1" i="211" s="1"/>
  <c r="C65" i="211" l="1"/>
  <c r="H20" i="285"/>
  <c r="E20" i="285" s="1"/>
  <c r="K16" i="284"/>
  <c r="G16" i="284" s="1"/>
  <c r="K20" i="254"/>
  <c r="G20" i="254" s="1"/>
  <c r="D21" i="283" s="1"/>
  <c r="G13" i="284"/>
  <c r="Q13" i="284"/>
  <c r="G14" i="254"/>
  <c r="D15" i="283" s="1"/>
  <c r="Q14" i="254"/>
  <c r="K35" i="283"/>
  <c r="G35" i="283"/>
  <c r="G14" i="283"/>
  <c r="K14" i="283"/>
  <c r="H49" i="213"/>
  <c r="H64" i="212"/>
  <c r="G21" i="283" l="1"/>
  <c r="K21" i="283"/>
  <c r="H1" i="213"/>
  <c r="G15" i="283"/>
  <c r="K15" i="283"/>
  <c r="H1" i="212"/>
  <c r="H151" i="159"/>
  <c r="H66" i="159"/>
  <c r="H11" i="159"/>
  <c r="H12" i="159"/>
  <c r="H13" i="159"/>
  <c r="H14" i="159"/>
  <c r="H16" i="159"/>
  <c r="H17" i="159"/>
  <c r="H18" i="159"/>
  <c r="H19" i="159"/>
  <c r="H20" i="159"/>
  <c r="H21" i="159"/>
  <c r="H22" i="159"/>
  <c r="H23" i="159"/>
  <c r="H24" i="159"/>
  <c r="H25" i="159"/>
  <c r="H26" i="159"/>
  <c r="H27" i="159"/>
  <c r="H30" i="159"/>
  <c r="H10" i="162"/>
  <c r="H52" i="162" s="1"/>
  <c r="H61" i="162" s="1"/>
  <c r="H10" i="159"/>
  <c r="B152" i="159"/>
  <c r="H60" i="159"/>
  <c r="H22" i="285" l="1"/>
  <c r="E22" i="285" s="1"/>
  <c r="K18" i="284"/>
  <c r="K22" i="254"/>
  <c r="C49" i="213"/>
  <c r="H56" i="159"/>
  <c r="H65" i="159" s="1"/>
  <c r="H106" i="159" s="1"/>
  <c r="H115" i="159" s="1"/>
  <c r="H152" i="159" s="1"/>
  <c r="H21" i="285"/>
  <c r="E21" i="285" s="1"/>
  <c r="K21" i="254"/>
  <c r="K17" i="284"/>
  <c r="C64" i="212"/>
  <c r="H61" i="207"/>
  <c r="G22" i="254" l="1"/>
  <c r="D23" i="283" s="1"/>
  <c r="K23" i="283" s="1"/>
  <c r="Q22" i="254"/>
  <c r="G18" i="284"/>
  <c r="Q18" i="284"/>
  <c r="H70" i="207"/>
  <c r="H121" i="207" s="1"/>
  <c r="G17" i="284"/>
  <c r="Q17" i="284"/>
  <c r="Q16" i="284"/>
  <c r="Q21" i="254"/>
  <c r="G21" i="254"/>
  <c r="D22" i="283" s="1"/>
  <c r="Q20" i="254"/>
  <c r="H1" i="159"/>
  <c r="C152" i="159" s="1"/>
  <c r="H11" i="200"/>
  <c r="H11" i="196"/>
  <c r="H10" i="194"/>
  <c r="H10" i="193"/>
  <c r="H63" i="193" s="1"/>
  <c r="H1" i="193" s="1"/>
  <c r="K38" i="254" s="1"/>
  <c r="G38" i="254" s="1"/>
  <c r="D40" i="283" s="1"/>
  <c r="H10" i="171"/>
  <c r="H64" i="171" s="1"/>
  <c r="H10" i="169"/>
  <c r="H51" i="169" s="1"/>
  <c r="H10" i="168"/>
  <c r="H40" i="168" s="1"/>
  <c r="H10" i="163"/>
  <c r="B214" i="162"/>
  <c r="H83" i="162"/>
  <c r="H113" i="162" s="1"/>
  <c r="H122" i="162" s="1"/>
  <c r="H161" i="162" s="1"/>
  <c r="H170" i="162" s="1"/>
  <c r="H214" i="162" s="1"/>
  <c r="B75" i="161"/>
  <c r="H22" i="161"/>
  <c r="H21" i="161"/>
  <c r="H20" i="161"/>
  <c r="H19" i="161"/>
  <c r="H14" i="161"/>
  <c r="H13" i="161"/>
  <c r="H12" i="161"/>
  <c r="H11" i="161"/>
  <c r="H10" i="161"/>
  <c r="G40" i="283" l="1"/>
  <c r="K40" i="283"/>
  <c r="H1" i="169"/>
  <c r="H1" i="168"/>
  <c r="H1" i="171"/>
  <c r="H65" i="196"/>
  <c r="H1" i="196"/>
  <c r="K41" i="254" s="1"/>
  <c r="G41" i="254" s="1"/>
  <c r="D43" i="283" s="1"/>
  <c r="H74" i="194"/>
  <c r="H1" i="194" s="1"/>
  <c r="K39" i="254" s="1"/>
  <c r="G39" i="254" s="1"/>
  <c r="D41" i="283" s="1"/>
  <c r="H1" i="207"/>
  <c r="K19" i="254" s="1"/>
  <c r="H44" i="200"/>
  <c r="H1" i="200" s="1"/>
  <c r="K43" i="254" s="1"/>
  <c r="G43" i="254" s="1"/>
  <c r="D45" i="283" s="1"/>
  <c r="K45" i="283" s="1"/>
  <c r="G22" i="283"/>
  <c r="K22" i="283"/>
  <c r="H1" i="162"/>
  <c r="H15" i="285" s="1"/>
  <c r="E15" i="285" s="1"/>
  <c r="H13" i="285"/>
  <c r="E13" i="285" s="1"/>
  <c r="K9" i="254"/>
  <c r="G9" i="254" s="1"/>
  <c r="D8" i="283" s="1"/>
  <c r="K9" i="284"/>
  <c r="H72" i="163"/>
  <c r="H75" i="161"/>
  <c r="H27" i="285" l="1"/>
  <c r="E27" i="285" s="1"/>
  <c r="K27" i="254"/>
  <c r="G27" i="254" s="1"/>
  <c r="D28" i="283" s="1"/>
  <c r="K23" i="284"/>
  <c r="C51" i="169"/>
  <c r="H26" i="285"/>
  <c r="E26" i="285" s="1"/>
  <c r="K22" i="284"/>
  <c r="K26" i="254"/>
  <c r="C40" i="168"/>
  <c r="E28" i="285"/>
  <c r="K28" i="254"/>
  <c r="C64" i="171"/>
  <c r="G43" i="283"/>
  <c r="K43" i="283"/>
  <c r="D61" i="283"/>
  <c r="K41" i="283"/>
  <c r="G41" i="283"/>
  <c r="G19" i="254"/>
  <c r="D20" i="283" s="1"/>
  <c r="Q19" i="254"/>
  <c r="Q18" i="254"/>
  <c r="G45" i="283"/>
  <c r="H1" i="161"/>
  <c r="K1" i="161" s="1"/>
  <c r="K11" i="284"/>
  <c r="G11" i="284" s="1"/>
  <c r="K11" i="254"/>
  <c r="C214" i="162"/>
  <c r="G9" i="284"/>
  <c r="G8" i="283"/>
  <c r="K8" i="283"/>
  <c r="H81" i="163"/>
  <c r="H123" i="163" s="1"/>
  <c r="G23" i="284" l="1"/>
  <c r="Q23" i="284"/>
  <c r="G28" i="283"/>
  <c r="K28" i="283"/>
  <c r="G22" i="284"/>
  <c r="Q22" i="284"/>
  <c r="Q21" i="284"/>
  <c r="G26" i="254"/>
  <c r="D27" i="283" s="1"/>
  <c r="Q26" i="254"/>
  <c r="Q25" i="254"/>
  <c r="G28" i="254"/>
  <c r="D29" i="283" s="1"/>
  <c r="Q27" i="254"/>
  <c r="Q28" i="254"/>
  <c r="G20" i="283"/>
  <c r="K20" i="283"/>
  <c r="H1" i="163"/>
  <c r="H16" i="285" s="1"/>
  <c r="E16" i="285" s="1"/>
  <c r="H14" i="285"/>
  <c r="E14" i="285" s="1"/>
  <c r="K10" i="284"/>
  <c r="K10" i="254"/>
  <c r="Q10" i="254" s="1"/>
  <c r="C75" i="161"/>
  <c r="G11" i="254"/>
  <c r="D12" i="283" s="1"/>
  <c r="K27" i="283" l="1"/>
  <c r="G27" i="283"/>
  <c r="K29" i="283"/>
  <c r="G29" i="283"/>
  <c r="E33" i="285"/>
  <c r="E1" i="285" s="1"/>
  <c r="K12" i="284"/>
  <c r="Q11" i="284" s="1"/>
  <c r="K12" i="254"/>
  <c r="Q12" i="254" s="1"/>
  <c r="C123" i="163"/>
  <c r="G10" i="254"/>
  <c r="D10" i="283" s="1"/>
  <c r="Q9" i="254"/>
  <c r="G10" i="284"/>
  <c r="Q10" i="284"/>
  <c r="Q9" i="284"/>
  <c r="G12" i="283"/>
  <c r="K12" i="283"/>
  <c r="K8" i="254" l="1"/>
  <c r="Q11" i="254"/>
  <c r="G12" i="254"/>
  <c r="G60" i="254" s="1"/>
  <c r="G69" i="254" s="1"/>
  <c r="E8" i="288"/>
  <c r="K8" i="284"/>
  <c r="Q12" i="284"/>
  <c r="G12" i="284"/>
  <c r="G56" i="284" s="1"/>
  <c r="G9" i="264" s="1"/>
  <c r="G10" i="283"/>
  <c r="K10" i="283"/>
  <c r="D13" i="283" l="1"/>
  <c r="K13" i="283" s="1"/>
  <c r="W62" i="283" l="1"/>
  <c r="D60" i="283"/>
  <c r="D63" i="283" s="1"/>
  <c r="H55" i="283" s="1"/>
  <c r="G13" i="283"/>
  <c r="G60" i="283" s="1"/>
  <c r="H17" i="283" l="1"/>
  <c r="H62" i="283"/>
  <c r="H18" i="283"/>
  <c r="H21" i="283"/>
  <c r="H25" i="283"/>
  <c r="H60" i="283"/>
  <c r="H8" i="283"/>
  <c r="H44" i="283"/>
  <c r="D66" i="283"/>
  <c r="H43" i="283"/>
  <c r="H27" i="283"/>
  <c r="H19" i="283"/>
  <c r="H47" i="283"/>
  <c r="H50" i="283"/>
  <c r="H28" i="283"/>
  <c r="H15" i="283"/>
  <c r="H52" i="283"/>
  <c r="H51" i="283"/>
  <c r="H26" i="283"/>
  <c r="H34" i="283"/>
  <c r="H24" i="283"/>
  <c r="H56" i="283"/>
  <c r="H53" i="283"/>
  <c r="H35" i="283"/>
  <c r="H45" i="283"/>
  <c r="H41" i="283"/>
  <c r="H42" i="283"/>
  <c r="H37" i="283"/>
  <c r="H57" i="283"/>
  <c r="H29" i="283"/>
  <c r="K60" i="283"/>
  <c r="H10" i="283"/>
  <c r="H40" i="283"/>
  <c r="H33" i="283"/>
  <c r="H38" i="283"/>
  <c r="H12" i="283"/>
  <c r="H14" i="283"/>
  <c r="H22" i="283"/>
  <c r="H48" i="283"/>
  <c r="H49" i="283"/>
  <c r="H30" i="283"/>
  <c r="H9" i="283"/>
  <c r="H16" i="283"/>
  <c r="H20" i="283"/>
  <c r="H36" i="283"/>
  <c r="H32" i="283"/>
  <c r="H11" i="283"/>
  <c r="H54" i="283"/>
  <c r="H31" i="283"/>
  <c r="H46" i="283"/>
  <c r="H13" i="283"/>
  <c r="H31" i="262"/>
  <c r="H33" i="262" s="1"/>
  <c r="G63" i="283"/>
  <c r="F63" i="283" s="1"/>
  <c r="D65" i="283" l="1"/>
  <c r="F65" i="283" s="1"/>
  <c r="F67" i="283" s="1"/>
  <c r="H63" i="283"/>
  <c r="H35" i="262"/>
  <c r="H37" i="262" s="1"/>
  <c r="B67" i="283" l="1"/>
  <c r="D67" i="283"/>
  <c r="H50" i="262"/>
  <c r="H59" i="262" s="1"/>
  <c r="H120" i="262" s="1"/>
  <c r="G9" i="263" l="1"/>
  <c r="G70" i="263" s="1"/>
  <c r="G11" i="264" s="1"/>
  <c r="G13" i="264" s="1"/>
  <c r="G14" i="264" s="1"/>
  <c r="G15" i="264" s="1"/>
  <c r="G16" i="264" s="1"/>
  <c r="G17" i="264" s="1"/>
  <c r="G18" i="264" s="1"/>
  <c r="G19" i="264" s="1"/>
  <c r="K20" i="264" s="1"/>
  <c r="H1" i="262"/>
  <c r="E12" i="287" s="1"/>
  <c r="E14" i="287" s="1"/>
  <c r="E10" i="288" s="1"/>
  <c r="E12" i="288" s="1"/>
  <c r="J13" i="264" l="1"/>
  <c r="C120" i="262"/>
  <c r="E13" i="288"/>
  <c r="N68" i="283"/>
  <c r="O68" i="283" s="1"/>
  <c r="E14" i="288" l="1"/>
  <c r="E15" i="288" s="1"/>
  <c r="E16" i="288" s="1"/>
  <c r="H52" i="293"/>
  <c r="H1" i="293" s="1"/>
  <c r="O67" i="283"/>
  <c r="E17" i="288" l="1"/>
  <c r="E18" i="288" s="1"/>
  <c r="E19" i="288" s="1"/>
  <c r="E20" i="28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<sst xmlns="http://schemas.openxmlformats.org/spreadsheetml/2006/main" count="4143" uniqueCount="1603">
  <si>
    <t>ITEM NO</t>
  </si>
  <si>
    <t>DESCRIPTION</t>
  </si>
  <si>
    <t>UNIT</t>
  </si>
  <si>
    <t>QUANTITY</t>
  </si>
  <si>
    <t>RATE</t>
  </si>
  <si>
    <t>AMOUNT</t>
  </si>
  <si>
    <t>m</t>
  </si>
  <si>
    <t>t</t>
  </si>
  <si>
    <t>SCHEDULE A: ROADWORKS</t>
  </si>
  <si>
    <t>Province of KwaZulu-Natal</t>
  </si>
  <si>
    <t>Department of Transport</t>
  </si>
  <si>
    <t>Lump Sum</t>
  </si>
  <si>
    <t>TOTAL CARRIED FORWARD</t>
  </si>
  <si>
    <t>GENERAL REQUIREMENTS AND PAYMENT</t>
  </si>
  <si>
    <t>C1.2.2</t>
  </si>
  <si>
    <t>Programming and Reporting</t>
  </si>
  <si>
    <t>C1.2</t>
  </si>
  <si>
    <t>C1.2.1</t>
  </si>
  <si>
    <t>Environmental Management</t>
  </si>
  <si>
    <t>C1.2.1.1</t>
  </si>
  <si>
    <t>Monitoring of compliance with and reporting on the EMP</t>
  </si>
  <si>
    <t>month</t>
  </si>
  <si>
    <t>C1.2.1.2</t>
  </si>
  <si>
    <t>Dedicated environmental officer (if specified in the Contract Documentation)</t>
  </si>
  <si>
    <t>C1.2.2.3</t>
  </si>
  <si>
    <t>C1.2.2.4</t>
  </si>
  <si>
    <t>C1.2.2.5</t>
  </si>
  <si>
    <t>C1.2.2.6</t>
  </si>
  <si>
    <t>Submission of a Scheme 2 Initial Programme</t>
  </si>
  <si>
    <t>Submission of a Scheme 2 Full Programme</t>
  </si>
  <si>
    <t>Reviewing and updating a Scheme 2 Programme every month</t>
  </si>
  <si>
    <t>Preparation and submission of all information and reports specified in the Contract Documentation</t>
  </si>
  <si>
    <t>ha</t>
  </si>
  <si>
    <t>km</t>
  </si>
  <si>
    <r>
      <t>m</t>
    </r>
    <r>
      <rPr>
        <vertAlign val="superscript"/>
        <sz val="10"/>
        <rFont val="Arial"/>
        <family val="2"/>
      </rPr>
      <t>3</t>
    </r>
  </si>
  <si>
    <t>kg</t>
  </si>
  <si>
    <t>%</t>
  </si>
  <si>
    <t>TOTAL BROUGHT FORWARD</t>
  </si>
  <si>
    <t>C1.2.5</t>
  </si>
  <si>
    <t>Safety</t>
  </si>
  <si>
    <t>C1.2.5.1</t>
  </si>
  <si>
    <t>Health and safety plan</t>
  </si>
  <si>
    <t>C1.2.5.2</t>
  </si>
  <si>
    <t>Implementation of health and safety plan</t>
  </si>
  <si>
    <t>No</t>
  </si>
  <si>
    <t>C1.2.8</t>
  </si>
  <si>
    <t>Dayworks</t>
  </si>
  <si>
    <t>C1.2.8.1</t>
  </si>
  <si>
    <t>Personnel</t>
  </si>
  <si>
    <t>(a)</t>
  </si>
  <si>
    <t>Unskilled labourer</t>
  </si>
  <si>
    <t>(b)</t>
  </si>
  <si>
    <t xml:space="preserve">(c) </t>
  </si>
  <si>
    <t>(d)</t>
  </si>
  <si>
    <t>(e)</t>
  </si>
  <si>
    <t>(f)</t>
  </si>
  <si>
    <t>Semi-skilled labourer</t>
  </si>
  <si>
    <t>Skilled labourer</t>
  </si>
  <si>
    <t>Gang leader</t>
  </si>
  <si>
    <t>Foreman</t>
  </si>
  <si>
    <t>Skilled Artisan</t>
  </si>
  <si>
    <t>C1.2.8.2</t>
  </si>
  <si>
    <t>(h)</t>
  </si>
  <si>
    <t>C1.2.8.3</t>
  </si>
  <si>
    <t>Light delivery vehicle</t>
  </si>
  <si>
    <t>(c)</t>
  </si>
  <si>
    <t>C1.2.8.4</t>
  </si>
  <si>
    <t>Materials</t>
  </si>
  <si>
    <t>Procurement of materials</t>
  </si>
  <si>
    <t>Contractor's handling costs, profit and all other charges in respect of item C1.2.8.4(a)</t>
  </si>
  <si>
    <t>C1.3</t>
  </si>
  <si>
    <t>CONTRACTOR'S SITE ESTABLISHMENT AND GENERAL OBLIGATIONS</t>
  </si>
  <si>
    <t>C1.3.1</t>
  </si>
  <si>
    <t>The Contractor's general obligations</t>
  </si>
  <si>
    <t>C1.3.1.1</t>
  </si>
  <si>
    <t>C1.3.1.3</t>
  </si>
  <si>
    <t>Fixed obligations</t>
  </si>
  <si>
    <t>Time-related obligations</t>
  </si>
  <si>
    <t>C1.3.2</t>
  </si>
  <si>
    <t>Contract sign boards</t>
  </si>
  <si>
    <r>
      <t>m</t>
    </r>
    <r>
      <rPr>
        <vertAlign val="superscript"/>
        <sz val="10"/>
        <rFont val="Arial"/>
        <family val="2"/>
      </rPr>
      <t>2</t>
    </r>
  </si>
  <si>
    <t>C1.4</t>
  </si>
  <si>
    <t>FACILITIES FOR THE ENGINEER</t>
  </si>
  <si>
    <t>C1.4.1</t>
  </si>
  <si>
    <t>Site accommodation</t>
  </si>
  <si>
    <t>C1.4.1.1</t>
  </si>
  <si>
    <t>C1.4.1.6</t>
  </si>
  <si>
    <t>C1.4.1.7</t>
  </si>
  <si>
    <t>C1.4.1.8</t>
  </si>
  <si>
    <t>C1.4.1.9</t>
  </si>
  <si>
    <t>Offices and conference room</t>
  </si>
  <si>
    <t>Car ports</t>
  </si>
  <si>
    <t>Change room with a shower</t>
  </si>
  <si>
    <t>C1.4.1.13</t>
  </si>
  <si>
    <t>C1.4.1.14</t>
  </si>
  <si>
    <t>Rented housing paid for by the Contractor</t>
  </si>
  <si>
    <t>Contractor's handling costs, profit and all other charges in respect of item C1.4.1.13</t>
  </si>
  <si>
    <t>C1.4.2</t>
  </si>
  <si>
    <t>Items measured by area</t>
  </si>
  <si>
    <t>C1.4.2.1</t>
  </si>
  <si>
    <t>Shelving as specified, complete with brackets</t>
  </si>
  <si>
    <t>C1.4.2.6</t>
  </si>
  <si>
    <t>C1.4.2.7</t>
  </si>
  <si>
    <t>C1.4.2.8</t>
  </si>
  <si>
    <t>Roller blinds, opaque type</t>
  </si>
  <si>
    <t>Venetian blinds</t>
  </si>
  <si>
    <t>Notice boards</t>
  </si>
  <si>
    <t>C1.4.3</t>
  </si>
  <si>
    <t>Items measured by number</t>
  </si>
  <si>
    <t>C1.4.3.1</t>
  </si>
  <si>
    <t>Office swivel chair</t>
  </si>
  <si>
    <t>Office chair</t>
  </si>
  <si>
    <t>Draughtsman's stool</t>
  </si>
  <si>
    <t>Office desk with 3 drawers (at least one lockable drawer)</t>
  </si>
  <si>
    <t>Drawing table</t>
  </si>
  <si>
    <t>Conference table</t>
  </si>
  <si>
    <t>Bookcase</t>
  </si>
  <si>
    <t>Filling cabinet</t>
  </si>
  <si>
    <t>General purpose steel cabinet with shelves</t>
  </si>
  <si>
    <t>C1.4.3.2</t>
  </si>
  <si>
    <t>C1.4.3.3</t>
  </si>
  <si>
    <t>C1.4.3.5</t>
  </si>
  <si>
    <t>C1.4.3.7</t>
  </si>
  <si>
    <t>C1.4.3.8</t>
  </si>
  <si>
    <t>C1.4.3.9</t>
  </si>
  <si>
    <t>C1.4.3.10</t>
  </si>
  <si>
    <t>C1.4.3.11</t>
  </si>
  <si>
    <t>C1.4.3.13</t>
  </si>
  <si>
    <t>C1.4.3.14</t>
  </si>
  <si>
    <t>C1.4.3.15</t>
  </si>
  <si>
    <t>C1.4.3.16</t>
  </si>
  <si>
    <t>C1.4.3.17</t>
  </si>
  <si>
    <t>C1.4.3.19</t>
  </si>
  <si>
    <t>220/250 volt power outlet plug point</t>
  </si>
  <si>
    <t>Single 1 500 mm, 58 watt fluorescent tube ceilling light</t>
  </si>
  <si>
    <t>Single 1 500 mm, 22 watt LED tube ceilling light</t>
  </si>
  <si>
    <t>11 watt compact fluorescent bulb ceiling light</t>
  </si>
  <si>
    <t>Wash-hand basin</t>
  </si>
  <si>
    <t>C1.4.3.23</t>
  </si>
  <si>
    <t>C1.4.3.24</t>
  </si>
  <si>
    <t>C1.4.3.25</t>
  </si>
  <si>
    <t>C1.4.3.27</t>
  </si>
  <si>
    <t>C1.4.3.28</t>
  </si>
  <si>
    <t>C1.4.3.29</t>
  </si>
  <si>
    <t>C1.4.3.30</t>
  </si>
  <si>
    <t>C1.4.3.31</t>
  </si>
  <si>
    <t>C1.4.3.32</t>
  </si>
  <si>
    <t>C1.4.3.33</t>
  </si>
  <si>
    <t>C1.4.3.34</t>
  </si>
  <si>
    <t>C1.4.3.35</t>
  </si>
  <si>
    <t>C1.4.3.36</t>
  </si>
  <si>
    <t>C1.4.3.37</t>
  </si>
  <si>
    <t>Fire extinguisher 9,0 kg, dry powder type</t>
  </si>
  <si>
    <t>Air-conditioning unit</t>
  </si>
  <si>
    <t>Heater</t>
  </si>
  <si>
    <t>Waste paper basket</t>
  </si>
  <si>
    <t>UPS / Voltage stabiliser</t>
  </si>
  <si>
    <t>A3 / A4 colour printer, copier, scanner</t>
  </si>
  <si>
    <t>A4 colour printer, copier, scanner</t>
  </si>
  <si>
    <t>Rain gauge</t>
  </si>
  <si>
    <t>Minimum / maximum atmospheric temperature guage</t>
  </si>
  <si>
    <t>Digital thermometer</t>
  </si>
  <si>
    <t>Mobile outdoor weather station</t>
  </si>
  <si>
    <t>3,0 m aluminium straight edge complete with two measuring wedges</t>
  </si>
  <si>
    <t>Measuring wheel</t>
  </si>
  <si>
    <t>First aid kit</t>
  </si>
  <si>
    <t>C1.4.4</t>
  </si>
  <si>
    <t>Prime cost items</t>
  </si>
  <si>
    <t>C1.4.4.1</t>
  </si>
  <si>
    <t>C1.4.4.2</t>
  </si>
  <si>
    <t>C1.4.4.3</t>
  </si>
  <si>
    <t>C1.4.4.4</t>
  </si>
  <si>
    <t>C1.4.4.5</t>
  </si>
  <si>
    <t>C1.4.4.6</t>
  </si>
  <si>
    <t>C1.4.4.7</t>
  </si>
  <si>
    <t>C1.4.4.8</t>
  </si>
  <si>
    <t>C1.4.4.9</t>
  </si>
  <si>
    <t>C1.4.4.10</t>
  </si>
  <si>
    <t>C1.4.4.15</t>
  </si>
  <si>
    <t>C1.4.4.16</t>
  </si>
  <si>
    <t>Cell phones costs, including pro-rate rentals, for calls made in connection with contract administration</t>
  </si>
  <si>
    <t>The provision of a direct independent telephone line for the Engineer, including the monthly rental charges and the cost of business calls</t>
  </si>
  <si>
    <t>Handling cost and profit in respect of item C1.4.4.1</t>
  </si>
  <si>
    <t>C1.4.5</t>
  </si>
  <si>
    <t>Services at site offices, laboratories and site accommodation</t>
  </si>
  <si>
    <t>C1.4.5.1</t>
  </si>
  <si>
    <t>Fixed costs</t>
  </si>
  <si>
    <t>C1.4.5.2</t>
  </si>
  <si>
    <t>Running costs</t>
  </si>
  <si>
    <t>Office Staff</t>
  </si>
  <si>
    <t>C1.4.6</t>
  </si>
  <si>
    <t>C1.4.6.2</t>
  </si>
  <si>
    <t>Technical assistant</t>
  </si>
  <si>
    <t>C1.4.7</t>
  </si>
  <si>
    <t>Site inspection transport</t>
  </si>
  <si>
    <t>C1.4.7.2</t>
  </si>
  <si>
    <t>Travel on site</t>
  </si>
  <si>
    <t>C1.4.8</t>
  </si>
  <si>
    <t>Site security measures for the Engineer's facilities</t>
  </si>
  <si>
    <t>C1.4.8.1</t>
  </si>
  <si>
    <t>C1.4.8.2</t>
  </si>
  <si>
    <t>ACCOMMODATION OF TRAFFIC</t>
  </si>
  <si>
    <t>The provision of internet conectivity and WIFI data for Engineer's site staff</t>
  </si>
  <si>
    <t>The provision of a complete 220/250 volt single phase electrical power installation, including all poles, insulators, wiring, switchboards, mains connection, meters, etc.</t>
  </si>
  <si>
    <t>The provision of paper and ink for a combination colour printer/copier/scanner</t>
  </si>
  <si>
    <t>The provision of all gas installations required at the site offices, laboratories and at the Engineer's staff accommodation (if required), including gas storage cylinders, tubing, regulators, gas burners and shut-off cocks</t>
  </si>
  <si>
    <t>Handling cost and profit in respect of item C1.4.4.3</t>
  </si>
  <si>
    <t>Handling cost and profit in respect of item C1.4.4.5</t>
  </si>
  <si>
    <t>Handling cost and profit in respect of item C1.4.4.7</t>
  </si>
  <si>
    <t>Handling cost and profit in respect of item C1.4.4.9</t>
  </si>
  <si>
    <t>Handling cost and profit in respect of item C1.4.4.15</t>
  </si>
  <si>
    <t>Supply and installation of all required security measures at the Engineer's site offices and laboratories</t>
  </si>
  <si>
    <t>Provision of security gaurds / watchmen and an armed response service at the Engineer's site offices and laboratories</t>
  </si>
  <si>
    <t>C1.5.2</t>
  </si>
  <si>
    <t>Accommodation of vehicular traffic</t>
  </si>
  <si>
    <t>C1.5.4</t>
  </si>
  <si>
    <t xml:space="preserve">Construction of temporary deviations </t>
  </si>
  <si>
    <t>C1.5.7</t>
  </si>
  <si>
    <t>Temporary traffic control facilities</t>
  </si>
  <si>
    <t>C1.5.7.1</t>
  </si>
  <si>
    <t>C1.5.7.2</t>
  </si>
  <si>
    <t>C1.5.7.3</t>
  </si>
  <si>
    <t>C1.5.7.4</t>
  </si>
  <si>
    <t>C1.5.7.5</t>
  </si>
  <si>
    <t>C1.5.7.6</t>
  </si>
  <si>
    <t>C1.5.7.8</t>
  </si>
  <si>
    <t>C1.5.7.9</t>
  </si>
  <si>
    <t>Delineators including mounting bases and ballast:</t>
  </si>
  <si>
    <t>Traffic cones, minimum height 750 mm</t>
  </si>
  <si>
    <t>Flagmen</t>
  </si>
  <si>
    <t>Traffic controllers</t>
  </si>
  <si>
    <t>Provision of illuminated traffic signs</t>
  </si>
  <si>
    <t>Sign mounted flashing amber lights (2 lights with the specified power supply) mounted on a backing board which is:</t>
  </si>
  <si>
    <t>(a.i)</t>
  </si>
  <si>
    <t>900 mm wide x 150mm high</t>
  </si>
  <si>
    <t>(a.ii)</t>
  </si>
  <si>
    <t>1200 mm wide x 200 mm high</t>
  </si>
  <si>
    <t>Flashing LED illuminated arrow board</t>
  </si>
  <si>
    <t>Maintenance of illimuniated traffic signs:</t>
  </si>
  <si>
    <t>Sign mounted flashing amber lights (a pair of two lights mounted on a seperate backing board)</t>
  </si>
  <si>
    <t>Traffic control stations</t>
  </si>
  <si>
    <t>Cleaning of trafffic control facilities</t>
  </si>
  <si>
    <t>C1.5.8</t>
  </si>
  <si>
    <t>Traffic safety officer</t>
  </si>
  <si>
    <t>C1.5.9</t>
  </si>
  <si>
    <t>Traffic safety vehicle</t>
  </si>
  <si>
    <t>C1.5.11</t>
  </si>
  <si>
    <t>Provision of safety equipment for visitors</t>
  </si>
  <si>
    <t>C1.5.11.1</t>
  </si>
  <si>
    <t>Provision of reflective safety vests for visitors</t>
  </si>
  <si>
    <t>C1.5.11.2</t>
  </si>
  <si>
    <t>Provision of hard hats for visitors</t>
  </si>
  <si>
    <t>Additional traffic accommodation facilities ordered by the Engineer:</t>
  </si>
  <si>
    <t>C1.5.12.1</t>
  </si>
  <si>
    <t>C1.5.12.2</t>
  </si>
  <si>
    <t>C1.5.12</t>
  </si>
  <si>
    <t>Provision of additional traffic accomodation facilities</t>
  </si>
  <si>
    <t>Handling cost, profit and all other charges in respect of item C1.5.12.1</t>
  </si>
  <si>
    <t>C1.6</t>
  </si>
  <si>
    <t>CLEARING AND GRUBBING</t>
  </si>
  <si>
    <t>C1.6.1</t>
  </si>
  <si>
    <t>Clearing</t>
  </si>
  <si>
    <t>C1.6.1.1</t>
  </si>
  <si>
    <t>C1.6.1.2</t>
  </si>
  <si>
    <t>Clearing with machines and some hand labour where necessary</t>
  </si>
  <si>
    <t>Clearing with hand labour only when labour enhanced work is specified</t>
  </si>
  <si>
    <t>C1.6.2</t>
  </si>
  <si>
    <t>Grubbing</t>
  </si>
  <si>
    <t>C1.6.2.1</t>
  </si>
  <si>
    <t>C1.6.2.2</t>
  </si>
  <si>
    <t>C1.6.3.1</t>
  </si>
  <si>
    <t>Removal and grubbing of large trees and tree stumps:</t>
  </si>
  <si>
    <t>Girth equal to or exceeding 1,0 m up to and including 2,0 m</t>
  </si>
  <si>
    <t>C1.6.3.2</t>
  </si>
  <si>
    <t>Girth exceeding 2,0 m up to and including 3,0 m</t>
  </si>
  <si>
    <t>C1.6.7</t>
  </si>
  <si>
    <t>Re-clearing of previously cleared areas</t>
  </si>
  <si>
    <t>C1.6.9</t>
  </si>
  <si>
    <t>Conservation of topsoil</t>
  </si>
  <si>
    <t>C1.6.9.1</t>
  </si>
  <si>
    <t>C1.6.9.2</t>
  </si>
  <si>
    <t>Windrowing topsoil</t>
  </si>
  <si>
    <t>C1.7</t>
  </si>
  <si>
    <t>LOADING AND HAULING</t>
  </si>
  <si>
    <t>C1.7.1</t>
  </si>
  <si>
    <t>Loading</t>
  </si>
  <si>
    <t>C1.7.1.1</t>
  </si>
  <si>
    <t>C1.7.1.2</t>
  </si>
  <si>
    <t>C1.7.1.3</t>
  </si>
  <si>
    <t>Loading from heaps or windrows using machines and/some hand labour where necessary</t>
  </si>
  <si>
    <t>Loading by hand only from stockpile or heaps when labour ehancement work is specified or is not possible to use machines</t>
  </si>
  <si>
    <t>C1.7.2</t>
  </si>
  <si>
    <t>Hauling</t>
  </si>
  <si>
    <t>C1.7.2.1</t>
  </si>
  <si>
    <t>C1.7.2.2</t>
  </si>
  <si>
    <t>Hauling material for use in the Works and off-loading it on the site of the Works:</t>
  </si>
  <si>
    <t>Soil, gravel, crushed stone and pavement layer material</t>
  </si>
  <si>
    <t>Boulders and hard material</t>
  </si>
  <si>
    <t>Hauling material to spoil and off-loading it at a designated spoil or stockpile are:</t>
  </si>
  <si>
    <t>Cleared and grubbed material (organic matter and all other unsuitable or waste material)</t>
  </si>
  <si>
    <t>Soil and gravel material</t>
  </si>
  <si>
    <t>Boulders, hard material and concrete</t>
  </si>
  <si>
    <t>hour</t>
  </si>
  <si>
    <t>man-shift</t>
  </si>
  <si>
    <t>Man-month</t>
  </si>
  <si>
    <r>
      <t>m</t>
    </r>
    <r>
      <rPr>
        <vertAlign val="superscript"/>
        <sz val="10"/>
        <rFont val="Arial"/>
        <family val="2"/>
      </rPr>
      <t>3</t>
    </r>
    <r>
      <rPr>
        <sz val="10"/>
        <rFont val="Arial"/>
        <family val="2"/>
      </rPr>
      <t xml:space="preserve"> - km</t>
    </r>
  </si>
  <si>
    <t>C5.1</t>
  </si>
  <si>
    <t>ROADBED</t>
  </si>
  <si>
    <t>Roadbed construction and compaction</t>
  </si>
  <si>
    <t>C5.1.1</t>
  </si>
  <si>
    <t>C5.1.1.1</t>
  </si>
  <si>
    <t>Compaction of in-situ material to 90% of MDD</t>
  </si>
  <si>
    <t>Excavate material to spoil from roadbed constrcution, material obtained from:</t>
  </si>
  <si>
    <t>Soft excavation</t>
  </si>
  <si>
    <t>Boulder excavation Class A</t>
  </si>
  <si>
    <t>Hard excavation (other than by blasting)</t>
  </si>
  <si>
    <t>C5.1.3</t>
  </si>
  <si>
    <t>Excavate material to spoil sites designated by the Contractor</t>
  </si>
  <si>
    <t>C5.1.3.1</t>
  </si>
  <si>
    <t>(b.i)</t>
  </si>
  <si>
    <t>(b.ii)</t>
  </si>
  <si>
    <t>C5.2</t>
  </si>
  <si>
    <t>FILL</t>
  </si>
  <si>
    <t>C5.2.2</t>
  </si>
  <si>
    <t>Fill construction</t>
  </si>
  <si>
    <t>C5.2.2.1</t>
  </si>
  <si>
    <t>Normal fill material in compacted layer thicknesses of 200 mm and less:</t>
  </si>
  <si>
    <t>Compacted to 93% MDD</t>
  </si>
  <si>
    <t>Rock fill</t>
  </si>
  <si>
    <t>C5.2.11</t>
  </si>
  <si>
    <t>Finishing off fill slopes, medians and interchange areas</t>
  </si>
  <si>
    <t>C5.2.11.1</t>
  </si>
  <si>
    <t>Fill slopes</t>
  </si>
  <si>
    <t>C5.3</t>
  </si>
  <si>
    <t>ROAD PAVEMENT LAYERS</t>
  </si>
  <si>
    <t>C5.3.1</t>
  </si>
  <si>
    <t>Compilling and implementing M&amp;U plans for the construction of all the pavement layers</t>
  </si>
  <si>
    <t>C5.3.2.1</t>
  </si>
  <si>
    <t>C5.3.2</t>
  </si>
  <si>
    <t>Construction of pavement layers</t>
  </si>
  <si>
    <t>(i)</t>
  </si>
  <si>
    <t>(l)</t>
  </si>
  <si>
    <t>(g)</t>
  </si>
  <si>
    <t>(x)</t>
  </si>
  <si>
    <t>C5.4</t>
  </si>
  <si>
    <t>STABILISATION</t>
  </si>
  <si>
    <t>C5.4.2</t>
  </si>
  <si>
    <t>Chemical stabilisation</t>
  </si>
  <si>
    <t>C5.4.2.1</t>
  </si>
  <si>
    <t>C5.4.5</t>
  </si>
  <si>
    <t>Cementitious stabilisation agents for pavement layers</t>
  </si>
  <si>
    <t>C5.4.5.1</t>
  </si>
  <si>
    <t>Addition of cementitious stabilisation agents (specify agent seperately) for pavement layers</t>
  </si>
  <si>
    <t>Cement (for pavement layer)</t>
  </si>
  <si>
    <t>C5.4.5.2</t>
  </si>
  <si>
    <t>Addition of cementitious stabilisation agents (specify agent seperately) for pavement layers and spreading the agent using bags and labour enhancement methods.</t>
  </si>
  <si>
    <t>Cement</t>
  </si>
  <si>
    <t>C5.4.10</t>
  </si>
  <si>
    <t>Provision and application of water for curing</t>
  </si>
  <si>
    <t>C5.4.11</t>
  </si>
  <si>
    <t>Curing by covering with subsequent layer</t>
  </si>
  <si>
    <t>C5.4.14</t>
  </si>
  <si>
    <t>Trial section for a chemically stabilised layer</t>
  </si>
  <si>
    <t>C5.4.16</t>
  </si>
  <si>
    <t>Mechanical modification</t>
  </si>
  <si>
    <t>(a.iii)</t>
  </si>
  <si>
    <t>(c.i)</t>
  </si>
  <si>
    <t>(c.ii)</t>
  </si>
  <si>
    <t>C8.1</t>
  </si>
  <si>
    <t>PRIME COAT</t>
  </si>
  <si>
    <t>C8.1.1</t>
  </si>
  <si>
    <t>Prime coat:</t>
  </si>
  <si>
    <t>C8.1.1.5</t>
  </si>
  <si>
    <t>C8.1.3</t>
  </si>
  <si>
    <t>Extra over item C8.1.1 for applying the prime coat accessible only to hand-held or light equipment</t>
  </si>
  <si>
    <t>Correction material</t>
  </si>
  <si>
    <t>C20.1</t>
  </si>
  <si>
    <t>TESTING MATERIALS AND JUDGEMENT OF WORKMANSHIP</t>
  </si>
  <si>
    <t>C20.1.2</t>
  </si>
  <si>
    <t>Special tests requested by the Engineer</t>
  </si>
  <si>
    <t>C20.1.2.1</t>
  </si>
  <si>
    <t>Employer’s contribution to concrete durability tests</t>
  </si>
  <si>
    <t>(d.i)</t>
  </si>
  <si>
    <t>Employer’s contribution to other special tests</t>
  </si>
  <si>
    <t>Handling costs and profit in respect of item C20.1.2.2(a)</t>
  </si>
  <si>
    <t>Providing testing equipment:</t>
  </si>
  <si>
    <t>Core drill</t>
  </si>
  <si>
    <t>Special tests using Automated Road condition assessment instruments operated by service providers as requested by the Engineer for acceptance control in terms of Clause A20.1.3.6b)(iii)</t>
  </si>
  <si>
    <t>Using Highspeed Inertial Non-Contact laser profilers (Clause A20.1.5.5c)(ii))</t>
  </si>
  <si>
    <t>Handling cost and profit in respect of item C20.1.4.1</t>
  </si>
  <si>
    <t>Surface macro texture (Clause A20.1.5.5 b))</t>
  </si>
  <si>
    <t>Handling cost and profit in respect of item C20.1.4.4</t>
  </si>
  <si>
    <t>Financial contribution for an independent site/commercial laboratory</t>
  </si>
  <si>
    <t>C20.1.5</t>
  </si>
  <si>
    <t>C20.1.2.2</t>
  </si>
  <si>
    <t>C20.1.3</t>
  </si>
  <si>
    <t>C20.1.3.1</t>
  </si>
  <si>
    <t>C20.1.4</t>
  </si>
  <si>
    <t>C20.1.4.1</t>
  </si>
  <si>
    <t>C20.1.4.4</t>
  </si>
  <si>
    <t>FOUNDATIONS</t>
  </si>
  <si>
    <t>Excavation:</t>
  </si>
  <si>
    <t>Excavating soft material situated within the following successive depth ranges:</t>
  </si>
  <si>
    <t>0 m up to 1,5 m</t>
  </si>
  <si>
    <t>&gt; 1,5 m and &lt; 3,0 m</t>
  </si>
  <si>
    <t>Etc. in increments of 1,5 m</t>
  </si>
  <si>
    <t>Extra over subitem C13.1.3.1 for excavation in hard material irrespective of depth</t>
  </si>
  <si>
    <t>Extra over subitem C13.1.3.1 for additional excavation required by the Engineer after excavation is complete</t>
  </si>
  <si>
    <t>Excavation by labour enhanced methods:</t>
  </si>
  <si>
    <t>Excavate in soft material situated within the following successive depth ranges:</t>
  </si>
  <si>
    <t>Extra over item C13.1.3.1(a) for excavation in intermediate material</t>
  </si>
  <si>
    <t>Extra over item C13.1.3.1(a) for additional excavation required by the Engineer after excavation is complete</t>
  </si>
  <si>
    <t>Material from excavation</t>
  </si>
  <si>
    <t>Backfill to excavations utilising labour:</t>
  </si>
  <si>
    <t>Fill within a restricted area (extra over item C5.2.2)</t>
  </si>
  <si>
    <t>Haul in excess of 1,0 km on excavated material and on material imported for backfill, foundation fill and fill for caissons</t>
  </si>
  <si>
    <t>Overbreak in excavation in hard material:</t>
  </si>
  <si>
    <t>Foundation fill consisting of:</t>
  </si>
  <si>
    <t>FALSEWORK, FORMWORK AND CONCRETE FINISH</t>
  </si>
  <si>
    <t>STEEL REINFORCEMENT</t>
  </si>
  <si>
    <t>Reinforcement for:</t>
  </si>
  <si>
    <t>CONCRETE</t>
  </si>
  <si>
    <t>JOINTS</t>
  </si>
  <si>
    <t>Filled joints:</t>
  </si>
  <si>
    <t>Sealing joints with:</t>
  </si>
  <si>
    <t>lump sum</t>
  </si>
  <si>
    <t>ANCILLARY STRUCTURAL ELEMENTS</t>
  </si>
  <si>
    <t>Numbers for structures: (refer to drawings)</t>
  </si>
  <si>
    <t>Painted numbers</t>
  </si>
  <si>
    <t>Numbers formed in concrete</t>
  </si>
  <si>
    <t>Drainage pipes and weep holes:</t>
  </si>
  <si>
    <t>Drainage pipes:</t>
  </si>
  <si>
    <t>Weep holes:</t>
  </si>
  <si>
    <t>Perforated drainage pipes:</t>
  </si>
  <si>
    <t>Stones set in outlet structures</t>
  </si>
  <si>
    <t>C3.3.15.2</t>
  </si>
  <si>
    <t>Precast concrete blocks in outlet structures</t>
  </si>
  <si>
    <t>C3.3.15.1</t>
  </si>
  <si>
    <t>Energy dissipaters in outlet structures</t>
  </si>
  <si>
    <t>C3.3.15</t>
  </si>
  <si>
    <t>C3.3.13</t>
  </si>
  <si>
    <t>Welded steel fabric</t>
  </si>
  <si>
    <t>C3.3.12.3</t>
  </si>
  <si>
    <t>High-tensile steel bars</t>
  </si>
  <si>
    <t>Mild steel bars</t>
  </si>
  <si>
    <t>Reinforcement:</t>
  </si>
  <si>
    <t>C3.3.12</t>
  </si>
  <si>
    <t>C3.3.11</t>
  </si>
  <si>
    <t>C3.3.10</t>
  </si>
  <si>
    <t>To ends of slabs</t>
  </si>
  <si>
    <t>C3.3.9.3</t>
  </si>
  <si>
    <t>To sides with formwork on both internal and external faces (each face measured)</t>
  </si>
  <si>
    <t>C3.3.9.2</t>
  </si>
  <si>
    <t>Formwork to cast in situ concrete lining for open drains (Class F2 surface finish):</t>
  </si>
  <si>
    <t>C3.3.9</t>
  </si>
  <si>
    <t>Stone pitched lining (200 mm thickness)</t>
  </si>
  <si>
    <t>C3.3.8.3</t>
  </si>
  <si>
    <t>C3.3.8.2</t>
  </si>
  <si>
    <t>C3.3.8.1</t>
  </si>
  <si>
    <t>Linings for open drains:</t>
  </si>
  <si>
    <t>C3.3.8</t>
  </si>
  <si>
    <t>Extra over item C3.3.2 for drop kerbs at pedestrian crossings and driveways</t>
  </si>
  <si>
    <t>C3.3.4</t>
  </si>
  <si>
    <t>On curves with radii more than or equal to 1,0 m but less than 5,0 m</t>
  </si>
  <si>
    <t>C3.3.3.2</t>
  </si>
  <si>
    <t>On curves of radii more than or equal to 5,0 m but less than 20 m</t>
  </si>
  <si>
    <t>C3.3.3.1</t>
  </si>
  <si>
    <t>C3.3.3</t>
  </si>
  <si>
    <t>C3.3.2.1</t>
  </si>
  <si>
    <t>C3.3.2</t>
  </si>
  <si>
    <t>C3.3.1.1</t>
  </si>
  <si>
    <t>Concrete kerbing:</t>
  </si>
  <si>
    <t>C3.3.1</t>
  </si>
  <si>
    <t>CONCRETE KERBING AND CHANNELING, ASPHALT BERMS, CHUTES, DOWNPIPES, AS WELL AS CONCRETE, STONE PITCHED AND GABION LININGS FOR OPEN DRAINS</t>
  </si>
  <si>
    <t>C3.3</t>
  </si>
  <si>
    <t>Subsoil drain outlet marker (type or drawing specified)</t>
  </si>
  <si>
    <t>C3.1.23</t>
  </si>
  <si>
    <t>Backfilling of drains with selected material compacted to 93 % of MDD prior to construction of concrete lining and/or stone pitched lining</t>
  </si>
  <si>
    <t>C3.1.18</t>
  </si>
  <si>
    <t>Backfilling existing eroded side drains</t>
  </si>
  <si>
    <t>C3.1.17</t>
  </si>
  <si>
    <t>Loading and hauling of material in excess of 1.0km</t>
  </si>
  <si>
    <t>C3.1.16</t>
  </si>
  <si>
    <t>Repairing or replacing existing drainage systems</t>
  </si>
  <si>
    <t>C3.1.15</t>
  </si>
  <si>
    <t>Concrete caps</t>
  </si>
  <si>
    <t>C3.1.14.1</t>
  </si>
  <si>
    <t>Caps for subsoil drain pipe :</t>
  </si>
  <si>
    <t>C3.1.14</t>
  </si>
  <si>
    <t>C3.1.13.4</t>
  </si>
  <si>
    <t>C3.1.13.1</t>
  </si>
  <si>
    <t>Concrete outlet structures, manhole boxes, junction boxes and cleaning eyes for subsoil drainage systems:</t>
  </si>
  <si>
    <t>C3.1.13</t>
  </si>
  <si>
    <t>C3.1.11.</t>
  </si>
  <si>
    <t>0.15 mm thick</t>
  </si>
  <si>
    <t>C3.1.10.1</t>
  </si>
  <si>
    <t>Polymer film sheeting or similar approved material, for lining subsoil drainage systems:</t>
  </si>
  <si>
    <t>C3.1.10</t>
  </si>
  <si>
    <t>C3.1.9.1</t>
  </si>
  <si>
    <t>Pipes in subsoil drainage systems :</t>
  </si>
  <si>
    <t>C3.1.9</t>
  </si>
  <si>
    <t>C3.1.8.2</t>
  </si>
  <si>
    <t>Natural permeable material in subsoil drainage system (approved natural sand)</t>
  </si>
  <si>
    <t>C3.1.8</t>
  </si>
  <si>
    <t>C3.1.7</t>
  </si>
  <si>
    <t>G5 material obtained from commercial sources</t>
  </si>
  <si>
    <t>C3.1.5.2</t>
  </si>
  <si>
    <t>Un-stabilised natural gravel obtained from approved sources on the site</t>
  </si>
  <si>
    <t>C3.1.5.1</t>
  </si>
  <si>
    <t>Impermeable backfilling to subsoil drainage system</t>
  </si>
  <si>
    <t>C3.1.5</t>
  </si>
  <si>
    <t>Extra over sub-item C3.1.4.1 for excavation through stabilised existing road layers</t>
  </si>
  <si>
    <t>C3.1.4.5</t>
  </si>
  <si>
    <t>Extra over sub-item C3.1.4.1 for excavation in hard and boulder material, irrespective of depth</t>
  </si>
  <si>
    <t>C3.1.4.4</t>
  </si>
  <si>
    <t>Excavating intermediate material situated within 0m to 1.5m below the surface level using labour enhanced construction methods</t>
  </si>
  <si>
    <t>C3.1.4.3</t>
  </si>
  <si>
    <t>Excavating soft material situated within 0m to 1.5m below the surface level using labour enhanced construction methods</t>
  </si>
  <si>
    <t>C3.1.4.2</t>
  </si>
  <si>
    <t>Etc, in increments of 1.5m</t>
  </si>
  <si>
    <t>Exceeding 1.5m and up to 3.0m</t>
  </si>
  <si>
    <t>0m to 1.5m</t>
  </si>
  <si>
    <t>Excavating in all material situated within the following depth ranges below the surface :</t>
  </si>
  <si>
    <t>C3.1.4.1</t>
  </si>
  <si>
    <t>Excavation and disposal of material for subsoil drainage systems</t>
  </si>
  <si>
    <t>C3.1.4</t>
  </si>
  <si>
    <t>Using conventional methods</t>
  </si>
  <si>
    <t>C3.1.2.1</t>
  </si>
  <si>
    <t>C3.1.2</t>
  </si>
  <si>
    <t>Excavating intermediate material situated 0m to 1.5m below the surface level using labour enhanced construction methods</t>
  </si>
  <si>
    <t>C3.1.1.5</t>
  </si>
  <si>
    <t>Excavating soft material situated 0m to 1.5m below the surface level using labour enhanced construction methods</t>
  </si>
  <si>
    <t>C3.1.1.4</t>
  </si>
  <si>
    <t>C3.1.1.3</t>
  </si>
  <si>
    <t>Extra over sub-item C3.1.1.1 for excavation in hard and boulder material , irrespective of depth</t>
  </si>
  <si>
    <t>C3.1.1.2</t>
  </si>
  <si>
    <t xml:space="preserve">Excavating all material situated within the following depth ranges below the surface level using conventional methods : </t>
  </si>
  <si>
    <t>C3.1.1.1</t>
  </si>
  <si>
    <t>Excavation for open drains:</t>
  </si>
  <si>
    <t>C3.1.1</t>
  </si>
  <si>
    <t>DRAINS</t>
  </si>
  <si>
    <t>C3.1</t>
  </si>
  <si>
    <t>ℓ</t>
  </si>
  <si>
    <t>C3.2.24.1</t>
  </si>
  <si>
    <t>Compaction of bedding for inlets, outlets, manholes and catchpits:</t>
  </si>
  <si>
    <t>C3.2.24</t>
  </si>
  <si>
    <t>C3.2.19.1</t>
  </si>
  <si>
    <t>Accessories:</t>
  </si>
  <si>
    <t>C3.2.19</t>
  </si>
  <si>
    <t>Plaster</t>
  </si>
  <si>
    <t>C3.2.18</t>
  </si>
  <si>
    <t>C3.2.17</t>
  </si>
  <si>
    <t>345 mm thick</t>
  </si>
  <si>
    <t>C3.2.16.3</t>
  </si>
  <si>
    <t>230 mm thick</t>
  </si>
  <si>
    <t>C3.2.16.2</t>
  </si>
  <si>
    <t>115 mm thick</t>
  </si>
  <si>
    <t>C3.2.16.1</t>
  </si>
  <si>
    <t>Brickwork (Engineering bricks):</t>
  </si>
  <si>
    <t>C3.2.16</t>
  </si>
  <si>
    <t>Re-laying existing culverts from stacking (size and type of bedding indicated)</t>
  </si>
  <si>
    <t>C3.2.13.3</t>
  </si>
  <si>
    <t>C3.2.13.1</t>
  </si>
  <si>
    <t>Removing and re-laying existing culverts:</t>
  </si>
  <si>
    <t>C3.2.13</t>
  </si>
  <si>
    <t>C3.2.10.3</t>
  </si>
  <si>
    <t>C3.2.10.2</t>
  </si>
  <si>
    <t>.</t>
  </si>
  <si>
    <t>C3.2.10.1</t>
  </si>
  <si>
    <t>C3.2.10</t>
  </si>
  <si>
    <t>Formwork of concrete under items C3.2.7.3 to 5 above (Class of finish indicated)</t>
  </si>
  <si>
    <t>C3.2.7.6</t>
  </si>
  <si>
    <t>In inlet and outlet structures including kerbs, chutes and downpipes, skewed ends, catchpits, manholes, thrust and anchor blocks, excluding formwork but including Class U2 surfacing finish (class of concrete indicated)</t>
  </si>
  <si>
    <t>C3.2.7.5</t>
  </si>
  <si>
    <t>Cast in situ concrete and formwork:</t>
  </si>
  <si>
    <t>C3.2.7</t>
  </si>
  <si>
    <t>Extra over items C3.2.3, C3.2.4 and C3.2.5 for constructing inclined culverts</t>
  </si>
  <si>
    <t>C3.2.6</t>
  </si>
  <si>
    <t>C3.2.3.5</t>
  </si>
  <si>
    <t>C3.2.3.3</t>
  </si>
  <si>
    <t>Concrete pipe culverts:</t>
  </si>
  <si>
    <t>C3.2.3</t>
  </si>
  <si>
    <t>Using imported selected material:</t>
  </si>
  <si>
    <t>C3.2.2.2</t>
  </si>
  <si>
    <t>Using the excavated material</t>
  </si>
  <si>
    <t>C3.2.2.1</t>
  </si>
  <si>
    <t>Backfilling:</t>
  </si>
  <si>
    <t>C3.2.2</t>
  </si>
  <si>
    <t>Extra over sub-item C3.2.1.1 for excavation in stabilised existing road layers, irrespective of depth</t>
  </si>
  <si>
    <t>C3.2.1.5</t>
  </si>
  <si>
    <t>C3.2.1.4</t>
  </si>
  <si>
    <t>Excavating soft material 0 m to 1,5 m below the surface level using labour enhanced construction methods, or instructed by hand under Clause A3.2.7.2d):</t>
  </si>
  <si>
    <t>C3.2.1.2</t>
  </si>
  <si>
    <t>Excavating in all material situated within the following depth ranges below the surface level:</t>
  </si>
  <si>
    <t>C3.2.1.1</t>
  </si>
  <si>
    <t>Excavation for culvert structures:</t>
  </si>
  <si>
    <t>C3.2.1</t>
  </si>
  <si>
    <t>CULVERTS</t>
  </si>
  <si>
    <t>C3.2</t>
  </si>
  <si>
    <r>
      <t>m</t>
    </r>
    <r>
      <rPr>
        <vertAlign val="superscript"/>
        <sz val="10"/>
        <rFont val="Arial"/>
        <family val="2"/>
      </rPr>
      <t>3</t>
    </r>
    <r>
      <rPr>
        <sz val="10"/>
        <rFont val="Arial"/>
        <family val="2"/>
      </rPr>
      <t>-km</t>
    </r>
  </si>
  <si>
    <r>
      <t>m</t>
    </r>
    <r>
      <rPr>
        <sz val="10"/>
        <rFont val="Calibri"/>
        <family val="2"/>
      </rPr>
      <t>²</t>
    </r>
  </si>
  <si>
    <r>
      <t>m</t>
    </r>
    <r>
      <rPr>
        <sz val="10"/>
        <rFont val="Calibri"/>
        <family val="2"/>
      </rPr>
      <t>³</t>
    </r>
  </si>
  <si>
    <t>kℓ</t>
  </si>
  <si>
    <t>Shaping and finishing the borrow pit and quarry areas, and the stockpile sites:</t>
  </si>
  <si>
    <t>C4.1.15.1</t>
  </si>
  <si>
    <t>Boulder excavation class B</t>
  </si>
  <si>
    <t>C4.1.5.3</t>
  </si>
  <si>
    <t>Boulder excavation class A</t>
  </si>
  <si>
    <t>C4.1.5.2</t>
  </si>
  <si>
    <t>C4.1.5.1</t>
  </si>
  <si>
    <t>Excavating of materials in the borrow pits and quarries, material obtained from</t>
  </si>
  <si>
    <t>C4.1.5</t>
  </si>
  <si>
    <t>In borrow pits</t>
  </si>
  <si>
    <t>C4.1.4.1</t>
  </si>
  <si>
    <t>Removing of the overburden</t>
  </si>
  <si>
    <t>C4.1.4</t>
  </si>
  <si>
    <t>Cuttings:</t>
  </si>
  <si>
    <t>C4.2.12.1</t>
  </si>
  <si>
    <t>Finishing the side slopes</t>
  </si>
  <si>
    <t>C4.2.12</t>
  </si>
  <si>
    <t>C4.2.9.4</t>
  </si>
  <si>
    <t>C4.2.9.2</t>
  </si>
  <si>
    <t>Soft excavation, overburden and unsuitable material</t>
  </si>
  <si>
    <t>C4.2.9.1</t>
  </si>
  <si>
    <t>Excavate material to spoil in sites designated by the Contractor, material obtained from</t>
  </si>
  <si>
    <t>C4.2.9</t>
  </si>
  <si>
    <t>In layer thicknesses of 200 mm and less</t>
  </si>
  <si>
    <t>C4.2.7.1</t>
  </si>
  <si>
    <t>Removal of unsuitable stable cut material to spoil</t>
  </si>
  <si>
    <t>C4.2.7</t>
  </si>
  <si>
    <t>C4.2.3.4</t>
  </si>
  <si>
    <t>C4.2.3.3</t>
  </si>
  <si>
    <t>C4.2.3.2</t>
  </si>
  <si>
    <t>C4.2.3.1</t>
  </si>
  <si>
    <t>Excavating of materials in cuttings, material obtained from</t>
  </si>
  <si>
    <t>C4.2.3</t>
  </si>
  <si>
    <t>Concrete material</t>
  </si>
  <si>
    <t>C4.3.18.4</t>
  </si>
  <si>
    <t>Crushed stone, macadam, gravel and sand material</t>
  </si>
  <si>
    <t>C4.3.18.2</t>
  </si>
  <si>
    <t>Asphalt material</t>
  </si>
  <si>
    <t>C4.3.18.1</t>
  </si>
  <si>
    <t>C4.3.18</t>
  </si>
  <si>
    <t>Asphalt material:</t>
  </si>
  <si>
    <t>C4.3.4.1</t>
  </si>
  <si>
    <t>Saw-cutting existing materials within the following average depth ranges</t>
  </si>
  <si>
    <t>C4.3.4</t>
  </si>
  <si>
    <r>
      <t>m</t>
    </r>
    <r>
      <rPr>
        <vertAlign val="superscript"/>
        <sz val="10"/>
        <rFont val="Arial"/>
        <family val="2"/>
      </rPr>
      <t>3</t>
    </r>
    <r>
      <rPr>
        <sz val="11"/>
        <color theme="1"/>
        <rFont val="Calibri"/>
        <family val="2"/>
        <scheme val="minor"/>
      </rPr>
      <t/>
    </r>
  </si>
  <si>
    <t>Prov Sum</t>
  </si>
  <si>
    <t>PC Sum</t>
  </si>
  <si>
    <t>Prov sum</t>
  </si>
  <si>
    <t>Galvanized gabion mattresses (dimensions of mattress)</t>
  </si>
  <si>
    <t>Galvanized gabion boxes (dimensions of box)</t>
  </si>
  <si>
    <t>Extra over sub-item C11.2.1.1 for excavation in hard material, irrespective of depth</t>
  </si>
  <si>
    <t>Excavating all material situated within the following depth ranges below the surface level</t>
  </si>
  <si>
    <t>Foundation trench excavation:</t>
  </si>
  <si>
    <t>Client Line 1:</t>
  </si>
  <si>
    <t>Client Line 2:</t>
  </si>
  <si>
    <t>l</t>
  </si>
  <si>
    <t>Handling cost and profit in respect of item C4.4.7.1</t>
  </si>
  <si>
    <t>C4.4.7.2</t>
  </si>
  <si>
    <t>Cost of sampling and material testing</t>
  </si>
  <si>
    <t>C4.4.7.1</t>
  </si>
  <si>
    <t>Sampling and material testing by a commercial laboratory for the stabilisation designs</t>
  </si>
  <si>
    <t>C4.4.7</t>
  </si>
  <si>
    <t>C4.4.4.1</t>
  </si>
  <si>
    <t>Cementitious stabilising agents</t>
  </si>
  <si>
    <t>C4.4.4</t>
  </si>
  <si>
    <t>Pavement layer material:</t>
  </si>
  <si>
    <t>C4.4.2.1</t>
  </si>
  <si>
    <t>Commercial materials identified by the Contractor from commercial, private or other non-commercial suppliers</t>
  </si>
  <si>
    <t>C4.4.2</t>
  </si>
  <si>
    <t>COMMERCIAL MATERIALS</t>
  </si>
  <si>
    <t>C4.4</t>
  </si>
  <si>
    <r>
      <t>m</t>
    </r>
    <r>
      <rPr>
        <sz val="9"/>
        <rFont val="Calibri"/>
        <family val="2"/>
      </rPr>
      <t>³</t>
    </r>
  </si>
  <si>
    <r>
      <t>m</t>
    </r>
    <r>
      <rPr>
        <sz val="9"/>
        <rFont val="Calibri"/>
        <family val="2"/>
      </rPr>
      <t>²</t>
    </r>
  </si>
  <si>
    <t>m³</t>
  </si>
  <si>
    <t>From the excavated trench material</t>
  </si>
  <si>
    <t>Backfill compacted tp 93% (100% for sand) of MDD (areas subject to traffic loads) using material:</t>
  </si>
  <si>
    <t>C2.1.11.1</t>
  </si>
  <si>
    <t>Backfilling of trenches</t>
  </si>
  <si>
    <t>C2.1.11</t>
  </si>
  <si>
    <t>Over 1.0m and up to 1.5m deep</t>
  </si>
  <si>
    <t>Up to 1.0m deep</t>
  </si>
  <si>
    <t xml:space="preserve">Trenches over 1.0m up to 2.0m wide (in intermediate material) : </t>
  </si>
  <si>
    <t>C2.1.9.3</t>
  </si>
  <si>
    <t xml:space="preserve">Trenches up to 1.0m wide (in soft material) : </t>
  </si>
  <si>
    <t>C2.1.9.1</t>
  </si>
  <si>
    <t>Trench excavation using labour enhanced construction methods</t>
  </si>
  <si>
    <t>C2.1.9</t>
  </si>
  <si>
    <t>Using hand excavation to locate,expose and verify services</t>
  </si>
  <si>
    <t>C2.1.2.5</t>
  </si>
  <si>
    <t>Handling costs and profit in respect of item C2.1.1.2 above</t>
  </si>
  <si>
    <t>C2.1.1.3</t>
  </si>
  <si>
    <t>Permanent services relocation or protection work by others</t>
  </si>
  <si>
    <t>C2.1.1.2</t>
  </si>
  <si>
    <t>Contractors's obligations</t>
  </si>
  <si>
    <t>C2.1.1.1</t>
  </si>
  <si>
    <t>Location,Identification and relocation of existing services</t>
  </si>
  <si>
    <t>C2.1.1</t>
  </si>
  <si>
    <t>GENERAL REQUIREMENTS AND TRENCHING FOR SERVICES</t>
  </si>
  <si>
    <t>C2.1</t>
  </si>
  <si>
    <t>C2.2.6.3</t>
  </si>
  <si>
    <t>C2.2.6.1</t>
  </si>
  <si>
    <t>Duct accessories (markers, marking, draw wires and end caps etc.)</t>
  </si>
  <si>
    <t>C2.2.6</t>
  </si>
  <si>
    <t>C2.2.5.2</t>
  </si>
  <si>
    <t>Concrete for bedding and encasement of ducts</t>
  </si>
  <si>
    <t>C2.2.5</t>
  </si>
  <si>
    <t>Selected from the excavated trench material</t>
  </si>
  <si>
    <t>C2.2.4.1</t>
  </si>
  <si>
    <t>Bedding for ducts compacted to 90 % of MDD (100 % for sand) using material:</t>
  </si>
  <si>
    <t>C2.2.4</t>
  </si>
  <si>
    <t>C2.2.1.1</t>
  </si>
  <si>
    <t>Supply, lay and prove ducts</t>
  </si>
  <si>
    <t>DRY SERVICES</t>
  </si>
  <si>
    <t>C2.2</t>
  </si>
  <si>
    <t>(c )</t>
  </si>
  <si>
    <t>C11.1.6</t>
  </si>
  <si>
    <t>Grouted stone pitching on a concrete bed</t>
  </si>
  <si>
    <t>C11.1.2.3</t>
  </si>
  <si>
    <t>Method 1</t>
  </si>
  <si>
    <t>Plain stone pitching</t>
  </si>
  <si>
    <t>C11.1.2.1</t>
  </si>
  <si>
    <t>Stone pitching</t>
  </si>
  <si>
    <t>C11.1.2</t>
  </si>
  <si>
    <t>Excavating foundation trenches in intermediate material using labour enhanced construction methods 0 m to 1,0 m depth</t>
  </si>
  <si>
    <t>C11.1.1.2</t>
  </si>
  <si>
    <t>Excavating foundation trenches in soft material using labour enhanced construction methods 0 m to 1,0 m depth</t>
  </si>
  <si>
    <t>C11.1.1.1</t>
  </si>
  <si>
    <t>Foundation trenches for stone masonry walls</t>
  </si>
  <si>
    <t>C11.1.1</t>
  </si>
  <si>
    <t>PITCHING, STONEWORK, CAST IN SITU CONCRETE FOR PROTECTION AGAINST EROSION</t>
  </si>
  <si>
    <t>C11.1</t>
  </si>
  <si>
    <t>C11.2.4</t>
  </si>
  <si>
    <t>C11.2.3.3</t>
  </si>
  <si>
    <t>C11.2.3.1</t>
  </si>
  <si>
    <t>Gabion boxes and mattresses:</t>
  </si>
  <si>
    <t>C11.2.3</t>
  </si>
  <si>
    <t>Surface preparation for bedding the gabion boxes and mattresses</t>
  </si>
  <si>
    <t>C11.2.2</t>
  </si>
  <si>
    <t>Excavating intermediate material within 1,5 m below the surface level using labour enhanced construction methods:</t>
  </si>
  <si>
    <t>C11.2.1.4</t>
  </si>
  <si>
    <t>Excavating soft material within 1,5 m below the surface level using labour enhanced construction methods:</t>
  </si>
  <si>
    <t>C11.2.1.3</t>
  </si>
  <si>
    <t>C11.2.1.2</t>
  </si>
  <si>
    <t>Etc, in increments of 1,5 m</t>
  </si>
  <si>
    <t>Exceeding 1,5 m and up to 3,0 m</t>
  </si>
  <si>
    <t>0 m to 1,5 m</t>
  </si>
  <si>
    <t>C11.2.1.1</t>
  </si>
  <si>
    <t>C11.2.1</t>
  </si>
  <si>
    <t>Kilometre markers</t>
  </si>
  <si>
    <t>Nailing of gang nail plates on top of timber guardrail posts</t>
  </si>
  <si>
    <t>C11.4.14</t>
  </si>
  <si>
    <t>Reflective plates</t>
  </si>
  <si>
    <t>C11.4.1.1</t>
  </si>
  <si>
    <t>Removing existing guardrails:</t>
  </si>
  <si>
    <t>C11.4.7</t>
  </si>
  <si>
    <t>Steel plates</t>
  </si>
  <si>
    <t>C11.4.6.1</t>
  </si>
  <si>
    <t>C11.4.6</t>
  </si>
  <si>
    <t>Timber</t>
  </si>
  <si>
    <t>C11.4.5.1</t>
  </si>
  <si>
    <t>Additional guardrail posts for 3,81 m systems:</t>
  </si>
  <si>
    <t>C11.4.5</t>
  </si>
  <si>
    <t>Extra over C11.4.2.1(a) for horizontally curved guard rails factory bent to a radius of less than 45 m</t>
  </si>
  <si>
    <t>C11.4.4.2</t>
  </si>
  <si>
    <t>Extra over C11.4.1 and C11.4.11 for horizontally curved guard rails factory bent to a radius of less than 45 m</t>
  </si>
  <si>
    <t>C11.4.4.1</t>
  </si>
  <si>
    <t>Extra over for horizontally curved guard rails</t>
  </si>
  <si>
    <t>C11.4.4</t>
  </si>
  <si>
    <t>Extra over C11.4.1.2(d) and C11.4.1.2(e) for excavating holes for posts using labour enhanced methods (soft and intermediate)</t>
  </si>
  <si>
    <t>End wings to SANS 1350</t>
  </si>
  <si>
    <t>Terminal sections for 3,81 guardrails comprising of:</t>
  </si>
  <si>
    <t>C11.4.1.2</t>
  </si>
  <si>
    <t>Extra over C11.4.1.1(a) and C11.4.1.1(b) for excavating holes of posts using labour enhanced methods (soft and intermediate)</t>
  </si>
  <si>
    <t>Complete galvanized system compliant to SANS 1350:</t>
  </si>
  <si>
    <t>Erecting of guardrails at 3,81 m spacing</t>
  </si>
  <si>
    <t>C11.4.1</t>
  </si>
  <si>
    <t>C11.5.9</t>
  </si>
  <si>
    <t>Stock-proof fences</t>
  </si>
  <si>
    <t>Fences:</t>
  </si>
  <si>
    <t>C11.5.4.1</t>
  </si>
  <si>
    <t>Dismantling existing fences and gates:</t>
  </si>
  <si>
    <t>C11.5.4</t>
  </si>
  <si>
    <t>Horizontal</t>
  </si>
  <si>
    <t>Straining posts, stays and anchors:</t>
  </si>
  <si>
    <t>C11.5.1.9</t>
  </si>
  <si>
    <t>C11.5.1.8</t>
  </si>
  <si>
    <t>C11.5.1.7</t>
  </si>
  <si>
    <t>C11.5.1.2</t>
  </si>
  <si>
    <t>C11.5.1.1</t>
  </si>
  <si>
    <t>Supply and erect new fencing material for new fences and for supplementing material in existing fences which are being repaired or removed:</t>
  </si>
  <si>
    <t>C11.5.1</t>
  </si>
  <si>
    <t>Size 200 x 800 mm (state post type and reflective material)</t>
  </si>
  <si>
    <t>C11.6.8.2</t>
  </si>
  <si>
    <t>Danger plates at culverts/structures</t>
  </si>
  <si>
    <t>C11.6.8</t>
  </si>
  <si>
    <t>Dismantling and storing of road signs with a surface area of:</t>
  </si>
  <si>
    <t>C11.6.7.1</t>
  </si>
  <si>
    <t>Dismantling and storing of road signs and overhead signs</t>
  </si>
  <si>
    <t>C11.6.7</t>
  </si>
  <si>
    <t>C11.6.6.3</t>
  </si>
  <si>
    <t>C11.6.6.2</t>
  </si>
  <si>
    <t>C11.6.6.1</t>
  </si>
  <si>
    <t>Dismantling, storing and re-erecting road signs with a surface area of:</t>
  </si>
  <si>
    <t>C11.6.6</t>
  </si>
  <si>
    <t>Extra over item C11.6.5.1 for hard material excavation</t>
  </si>
  <si>
    <t>C11.6.5.4</t>
  </si>
  <si>
    <t>Extra over item C11.6.5.1 and 2 for cement-treated soil backfill</t>
  </si>
  <si>
    <t>C11.6.5.3</t>
  </si>
  <si>
    <t>Excavating soft or intermediate material and backfilling using labour enhanced construction methods</t>
  </si>
  <si>
    <t>C11.6.5.2</t>
  </si>
  <si>
    <t>Excavating soft material and backfilling</t>
  </si>
  <si>
    <t>C11.6.5.1</t>
  </si>
  <si>
    <t>Excavation and backfilling for road sign supports (not applicable to kilometre posts)</t>
  </si>
  <si>
    <t>C11.6.5</t>
  </si>
  <si>
    <t>m²</t>
  </si>
  <si>
    <t>C11.6.4.1</t>
  </si>
  <si>
    <t>C11.6.4</t>
  </si>
  <si>
    <t>C11.6.3.2</t>
  </si>
  <si>
    <t>Road sign supports (overhead road sign structures excluded):</t>
  </si>
  <si>
    <t>C11.6.3</t>
  </si>
  <si>
    <t>Class III</t>
  </si>
  <si>
    <t>Lettering, symbols, numbers, arrows, emblems and borders of retro-reflective material:</t>
  </si>
  <si>
    <t>C11.6.2.2</t>
  </si>
  <si>
    <t>Class I</t>
  </si>
  <si>
    <t>Background of retro-reflective material:</t>
  </si>
  <si>
    <t>C11.6.2.1</t>
  </si>
  <si>
    <t>Extra over on item C11.6.1 for using:</t>
  </si>
  <si>
    <t>C11.6.2</t>
  </si>
  <si>
    <t>Warning signs, temporary</t>
  </si>
  <si>
    <t>C11.6.1.10</t>
  </si>
  <si>
    <t>Warning signs, permanent</t>
  </si>
  <si>
    <t>C11.6.1.9</t>
  </si>
  <si>
    <t>Regulatory signs, temporary</t>
  </si>
  <si>
    <t>C11.6.1.8</t>
  </si>
  <si>
    <t>Regulatory signs, permanent</t>
  </si>
  <si>
    <t>C11.6.1.7</t>
  </si>
  <si>
    <t>Prepainted galvanized steel plate:</t>
  </si>
  <si>
    <t>C11.6.1.3</t>
  </si>
  <si>
    <t>Road signboards with painted or coloured semi-matt background. Symbols, lettering and borders in semi- matt black or in Class I retro-reflective material, where the sign board is constructed from:</t>
  </si>
  <si>
    <t>C11.6.1</t>
  </si>
  <si>
    <t>ROAD SIGNS</t>
  </si>
  <si>
    <t>C11.6</t>
  </si>
  <si>
    <t>Overpainting as temporary measure</t>
  </si>
  <si>
    <t>C11.7.10.3</t>
  </si>
  <si>
    <t>Sandblasting</t>
  </si>
  <si>
    <t>C11.7.10.1</t>
  </si>
  <si>
    <t>Removal of existing, temporary or final road markings by:</t>
  </si>
  <si>
    <t>C11.7.10</t>
  </si>
  <si>
    <t>Re-establishing the painting unit during the defects notification period and at other instances on instruction of the Engineer</t>
  </si>
  <si>
    <t>C11.7.9</t>
  </si>
  <si>
    <t>Setting out and premarking the lines (excluding traffic island markings, lettering and symbols)</t>
  </si>
  <si>
    <t>C11.7.8</t>
  </si>
  <si>
    <t>Temporary road studs compliant to SANS 1442 or 1463 (type/classification &amp; colours stated)</t>
  </si>
  <si>
    <t>C11.7.7.3</t>
  </si>
  <si>
    <t>C11.7.7.2</t>
  </si>
  <si>
    <t>Road studs</t>
  </si>
  <si>
    <t>C11.7.7</t>
  </si>
  <si>
    <t>Retro-reflective beads</t>
  </si>
  <si>
    <t>C11.7.5.4</t>
  </si>
  <si>
    <t>Red paint</t>
  </si>
  <si>
    <t>C11.7.5.3</t>
  </si>
  <si>
    <t>Yellow paint</t>
  </si>
  <si>
    <t>C11.7.5.2</t>
  </si>
  <si>
    <t>White paint</t>
  </si>
  <si>
    <t>C11.7.5.1</t>
  </si>
  <si>
    <t>Variations in rate of application:</t>
  </si>
  <si>
    <t>C11.7.5</t>
  </si>
  <si>
    <t>C11.7.2.13</t>
  </si>
  <si>
    <t>C11.7.2.12</t>
  </si>
  <si>
    <t>C11.7.2.11</t>
  </si>
  <si>
    <t>C11.7.2.3</t>
  </si>
  <si>
    <t>C11.7.2.2</t>
  </si>
  <si>
    <t>C11.7.2.1</t>
  </si>
  <si>
    <t>Retro-reflective road marking:</t>
  </si>
  <si>
    <t>C11.7.2</t>
  </si>
  <si>
    <t>ROAD MARKINGS AND ROAD STUDS</t>
  </si>
  <si>
    <t>C11.7</t>
  </si>
  <si>
    <t>CHAPTER 11</t>
  </si>
  <si>
    <t>Weeding all grass-seeded areas and the grass when established by topsoiling only</t>
  </si>
  <si>
    <t>C11.8.11</t>
  </si>
  <si>
    <t>Trees, all types and sizes</t>
  </si>
  <si>
    <t>Planting and establishing:</t>
  </si>
  <si>
    <t>C11.8.9.2</t>
  </si>
  <si>
    <t>Providing trees and shrubs</t>
  </si>
  <si>
    <t>C11.8.9.1</t>
  </si>
  <si>
    <t>Trees and shrubs:</t>
  </si>
  <si>
    <t>C11.8.9</t>
  </si>
  <si>
    <t>Mowing the grass</t>
  </si>
  <si>
    <t>C11.8.7</t>
  </si>
  <si>
    <t>Watering the already planted grass, trees and shrubs during the growing season</t>
  </si>
  <si>
    <t>C11.8.6</t>
  </si>
  <si>
    <t>Watering the grass when established by topsoiling only</t>
  </si>
  <si>
    <t>C11.8.5</t>
  </si>
  <si>
    <t>Hydroseeding</t>
  </si>
  <si>
    <t>Hydroseeding:</t>
  </si>
  <si>
    <t>C11.8.4.3</t>
  </si>
  <si>
    <t>Veld sods</t>
  </si>
  <si>
    <t>Sodding by using the following types of sods:</t>
  </si>
  <si>
    <t>C11.8.4.2</t>
  </si>
  <si>
    <t>Grassing</t>
  </si>
  <si>
    <t>C11.8.4</t>
  </si>
  <si>
    <t>Topsoil obtained from commercial sources by the Contractor</t>
  </si>
  <si>
    <t>Topsoil obtained from within the road reserve or borrow areas</t>
  </si>
  <si>
    <t>Topsoiling within the road reserve where the following materials are used:</t>
  </si>
  <si>
    <t>C11.8.3.3</t>
  </si>
  <si>
    <t>Hand trimming</t>
  </si>
  <si>
    <t>C11.8.1.2</t>
  </si>
  <si>
    <t>Machine trimming</t>
  </si>
  <si>
    <t>C11.8.1.1</t>
  </si>
  <si>
    <t>Trimming:</t>
  </si>
  <si>
    <t>C11.8.1</t>
  </si>
  <si>
    <t>LANDSCAPING AND PLANTING PLANTS</t>
  </si>
  <si>
    <t>C11.8</t>
  </si>
  <si>
    <t>Single carriageway road</t>
  </si>
  <si>
    <t>C11.9.1.2</t>
  </si>
  <si>
    <t>Finishing the road and road reserve:</t>
  </si>
  <si>
    <t>C11.9.1</t>
  </si>
  <si>
    <t>FINISHING THE ROAD AND ROAD RESERVE AND TREATING OLD ROADS</t>
  </si>
  <si>
    <t>C11.9</t>
  </si>
  <si>
    <t>Product containing low flashpoint solvent (indicate precoating fluid)</t>
  </si>
  <si>
    <t>C10.1.14.1</t>
  </si>
  <si>
    <t>Precoating of aggregate using a frontend loader</t>
  </si>
  <si>
    <t>C10.1.14</t>
  </si>
  <si>
    <t>C10.1.11.  2</t>
  </si>
  <si>
    <t>Application of cover spray:</t>
  </si>
  <si>
    <t>C10.1.11</t>
  </si>
  <si>
    <t>20 mm aggregate</t>
  </si>
  <si>
    <t>C10.1.10.5</t>
  </si>
  <si>
    <t>10 mm aggregate</t>
  </si>
  <si>
    <t>C10.1.10.3</t>
  </si>
  <si>
    <t>C10.1.10</t>
  </si>
  <si>
    <t>70/100 Penetration grade bitumen</t>
  </si>
  <si>
    <t>C10.1.9.1</t>
  </si>
  <si>
    <t>Bituminous binder variations:</t>
  </si>
  <si>
    <t>C10.1.9</t>
  </si>
  <si>
    <t>C10.1.4.2</t>
  </si>
  <si>
    <t>Re-establishment of sealing team after embargo period</t>
  </si>
  <si>
    <t>C10.1.4.1</t>
  </si>
  <si>
    <t>Embargo period effects</t>
  </si>
  <si>
    <t>C10.1.4</t>
  </si>
  <si>
    <t>C10.1.3.1</t>
  </si>
  <si>
    <t>Multiple stone seals including a cover spray, if specified using:</t>
  </si>
  <si>
    <t>C10.1.3</t>
  </si>
  <si>
    <t>GENERAL REQUIREMENTS FOR SURFACE TREATMENTS</t>
  </si>
  <si>
    <t>C10.1</t>
  </si>
  <si>
    <t>EXPANDED PUBLIC WORKS PROGRAMME (EPWP)</t>
  </si>
  <si>
    <t xml:space="preserve">Provision of training venue facility, including the cost of transport the learners to and from this facility </t>
  </si>
  <si>
    <t>hr</t>
  </si>
  <si>
    <t>FROM PAGE</t>
  </si>
  <si>
    <t>C2.3 SUMMARY OF BILL OF QUANTITIES</t>
  </si>
  <si>
    <t>VAT (15% of Subtotal 3)</t>
  </si>
  <si>
    <t>TOTAL CARRIED FORWARD TO FORM OF OFFER</t>
  </si>
  <si>
    <t>DISCLAIMER</t>
  </si>
  <si>
    <t>Kindly note that the responsibility lies with Tenderer to check the tender document and the tender addenda (if issued) to verify that all the information is correct and all changes have been incorporated as no claims will be entertained in this regard afterwards.  Accordingly, we confirm that the hard copies of the original tender document and the tender addenda are to be regarded to contain the correct items and quantities.</t>
  </si>
  <si>
    <t>TOTAL CARRIED FORWARD TO SUMMARY</t>
  </si>
  <si>
    <t>Contract No</t>
  </si>
  <si>
    <t>Contract Description</t>
  </si>
  <si>
    <t>C3.1.7.2</t>
  </si>
  <si>
    <t>C4.1</t>
  </si>
  <si>
    <t>BORROW MATERIALS</t>
  </si>
  <si>
    <t>C4.2</t>
  </si>
  <si>
    <t>CUT MATERIALS</t>
  </si>
  <si>
    <t xml:space="preserve">(a) </t>
  </si>
  <si>
    <t>In soft material</t>
  </si>
  <si>
    <t>In boulder material class A and B</t>
  </si>
  <si>
    <t>In soft material using labour enhanced methods of construction</t>
  </si>
  <si>
    <t>SCHEDULE A: ROADWORKS - SUMMARY</t>
  </si>
  <si>
    <t>CHAPTER</t>
  </si>
  <si>
    <t>Up to 50 mm</t>
  </si>
  <si>
    <t>Exceeding 50 mm and up to 100 mm</t>
  </si>
  <si>
    <t>C4.3</t>
  </si>
  <si>
    <t>Prime Cost</t>
  </si>
  <si>
    <t>EXISTING ROAD MATERIALS</t>
  </si>
  <si>
    <t>Type G2 material</t>
  </si>
  <si>
    <t>Type G6 material</t>
  </si>
  <si>
    <t>C11.2</t>
  </si>
  <si>
    <t>NON-STRUCTURAL GABIONS</t>
  </si>
  <si>
    <t>Concrete edge beams (class of concrete indicated)</t>
  </si>
  <si>
    <t>ROAD RESTRAINT SYSTEMS</t>
  </si>
  <si>
    <t>C11.4</t>
  </si>
  <si>
    <t>C11.5</t>
  </si>
  <si>
    <t>FENCING</t>
  </si>
  <si>
    <r>
      <t>Area 0 to 0,5 m</t>
    </r>
    <r>
      <rPr>
        <sz val="10"/>
        <rFont val="Calibri"/>
        <family val="2"/>
      </rPr>
      <t>²</t>
    </r>
  </si>
  <si>
    <r>
      <t>Area exceeding 0,5 m2 but not 2,0 m</t>
    </r>
    <r>
      <rPr>
        <sz val="10"/>
        <rFont val="Calibri"/>
        <family val="2"/>
      </rPr>
      <t>²</t>
    </r>
  </si>
  <si>
    <r>
      <t>Area exceeding 2,0 m2 but not 10 m</t>
    </r>
    <r>
      <rPr>
        <sz val="10"/>
        <rFont val="Calibri"/>
        <family val="2"/>
      </rPr>
      <t>²</t>
    </r>
  </si>
  <si>
    <r>
      <t>Exceeding 2,0 m2 but not 10 m</t>
    </r>
    <r>
      <rPr>
        <sz val="10"/>
        <rFont val="Calibri"/>
        <family val="2"/>
      </rPr>
      <t>²</t>
    </r>
  </si>
  <si>
    <r>
      <t>m</t>
    </r>
    <r>
      <rPr>
        <vertAlign val="superscript"/>
        <sz val="9"/>
        <rFont val="Arial"/>
        <family val="2"/>
      </rPr>
      <t>2</t>
    </r>
  </si>
  <si>
    <t>SUBTOTAL CARRIED FORWARD</t>
  </si>
  <si>
    <t>SUBTOTAL BROUGHT FORWARD</t>
  </si>
  <si>
    <t>Generic Skills</t>
  </si>
  <si>
    <t>Training costs</t>
  </si>
  <si>
    <t>Entrepreneurial skills:</t>
  </si>
  <si>
    <t>Generic Skills:</t>
  </si>
  <si>
    <t>Construction skills:</t>
  </si>
  <si>
    <t>(d.ii)</t>
  </si>
  <si>
    <t>(e.i)</t>
  </si>
  <si>
    <t>(e.ii)</t>
  </si>
  <si>
    <t>Provision of tools and apparel for the NYS workers</t>
  </si>
  <si>
    <t>Liaison with the Employer’s project manager and the training service provider:</t>
  </si>
  <si>
    <t>Liaison conducted by senior site foreman</t>
  </si>
  <si>
    <t>(a.iv)</t>
  </si>
  <si>
    <t>(a.v)</t>
  </si>
  <si>
    <t>(a.vi)</t>
  </si>
  <si>
    <t>SCHEDULE</t>
  </si>
  <si>
    <t>TOTAL SCHEDULE A: ROADWORKS</t>
  </si>
  <si>
    <t>SUBTOTAL 1</t>
  </si>
  <si>
    <t>SUBTOTAL 2</t>
  </si>
  <si>
    <t>SUBTOTAL 3</t>
  </si>
  <si>
    <t>Signed on behalf of the Tenderer: ……………………………………………………. (Signature)
Date: …………………………………………………..
Tenderer’s Name: ………………………………………………………………. (Company Name)</t>
  </si>
  <si>
    <t>Training of learners employed by the contractor or by the Targeted Enterprise subcontractors:</t>
  </si>
  <si>
    <t>F</t>
  </si>
  <si>
    <t>Transportation and accommodation costs of selected learners only, while receiving off-site training:</t>
  </si>
  <si>
    <t>Transportation and accommodation costs</t>
  </si>
  <si>
    <t>Payments associated with the NYS programme:</t>
  </si>
  <si>
    <t>Employment of NYS workers</t>
  </si>
  <si>
    <t>Training of NYS workers:</t>
  </si>
  <si>
    <t>Provision of training for NYS workers</t>
  </si>
  <si>
    <t>Liaison conducted by the construction manager</t>
  </si>
  <si>
    <t>E</t>
  </si>
  <si>
    <t>E6.02</t>
  </si>
  <si>
    <t>Handling costs and profit in respect of subitem E6.02(a)(i) above.</t>
  </si>
  <si>
    <t>Handling costs and profit in respect of subitem E6.02(b)(i) above.</t>
  </si>
  <si>
    <t>Handling costs and profit in respect of subitem E6.02(c)(i) above.</t>
  </si>
  <si>
    <t>Handling costs and profit in respect of subitem E6.02(d)(i) above.</t>
  </si>
  <si>
    <t>E6.03</t>
  </si>
  <si>
    <t>Handling cost and profit in respect of subitem E6.03(a) and (b) above</t>
  </si>
  <si>
    <t>Handling costs and profit in respect of subitem subitem E6.03(d)(i) above</t>
  </si>
  <si>
    <t>E6.01</t>
  </si>
  <si>
    <t>SMALL CONTRACTOR DEVELOPMENT</t>
  </si>
  <si>
    <t>Procurement of Targeted Enterprises:</t>
  </si>
  <si>
    <t>Management and execution of Targeted Enterprise procurement process:</t>
  </si>
  <si>
    <t>Procurement process for the appointment of CIDB contractor grading designation 1 Targeted Enterprise subcontractor (100 copies of the tender document required for each individual tender)</t>
  </si>
  <si>
    <t>Procurement process for the appointment of CIDB contractor grading designation 2 Targeted Enterprise subcontractor (80 copies of the tender document required for each individual tender)</t>
  </si>
  <si>
    <t>Procurement process for the appointment of CIDB contractor grading designation 3 Targeted Enterprise subcontractor (60 copies of the tender document required for each individual tender)</t>
  </si>
  <si>
    <t>Procurement process for the appointment of CIDB contractor grading designation 4 Targeted Enterprise subcontractor (50 copies of the tender document required for each individual tender)</t>
  </si>
  <si>
    <t>Procurement process for the appointment of CIDB contractor grading designation 5 Targeted Enterprise subcontractor (40 copies of the tender document required for each individual tender)</t>
  </si>
  <si>
    <t>Procurement process for the appointment of CIDB contractor grading designation 6 Targeted Enterprise subcontractor (40 copies of the tender document required for each individual tender)</t>
  </si>
  <si>
    <t>F10.1</t>
  </si>
  <si>
    <t>F10.2</t>
  </si>
  <si>
    <t>Construction Works for Targeted Enterprise subcontractors:</t>
  </si>
  <si>
    <t>Payments associated with the construction Works carried out by Targeted Enterprise subcontractors</t>
  </si>
  <si>
    <t>Handling costs and profit in respect of subitem F10.02(a)</t>
  </si>
  <si>
    <t>Supply of materials and small construction equipment to assist Targeted Enterprise subcontractors</t>
  </si>
  <si>
    <t>Handling costs and profit in respect of subitem F10.02(c)</t>
  </si>
  <si>
    <t>Management of the Targeted Enterprise subcontractors</t>
  </si>
  <si>
    <t>SCHEDULE E: EXPANDED PUBLIC WORKS PROGRAMME (EPWP)</t>
  </si>
  <si>
    <t>SCHEDULE F: SMALL CONTRACTOR DEVELOPMENT</t>
  </si>
  <si>
    <t>Handling costs and profit in respect of subitem F10.03(a)(i)</t>
  </si>
  <si>
    <t>Handling costs and profit in respect of subitem F10.03(b)(i)</t>
  </si>
  <si>
    <t>Handling costs and profit in respect of subitem F10.03(c)(i)</t>
  </si>
  <si>
    <t>Handling costs and profit in respect of subitem F10.03(d)(i)</t>
  </si>
  <si>
    <t>Summary Pages:</t>
  </si>
  <si>
    <t>A</t>
  </si>
  <si>
    <t>Contract Duration</t>
  </si>
  <si>
    <t>Months</t>
  </si>
  <si>
    <t>Roads</t>
  </si>
  <si>
    <t>Start Chainage</t>
  </si>
  <si>
    <t>End Chainage</t>
  </si>
  <si>
    <t>Total Distance</t>
  </si>
  <si>
    <t>Road Type</t>
  </si>
  <si>
    <t>P</t>
  </si>
  <si>
    <t>Road Width</t>
  </si>
  <si>
    <t>D</t>
  </si>
  <si>
    <t>L</t>
  </si>
  <si>
    <t>Distance to Quarry</t>
  </si>
  <si>
    <t xml:space="preserve">Construction Equipment </t>
  </si>
  <si>
    <t>Motor grader (112kw)</t>
  </si>
  <si>
    <t>Vibratory roller (80kw)</t>
  </si>
  <si>
    <t>Pneumatic roller (60km, 20t)</t>
  </si>
  <si>
    <t>Front end loader backhoe (55kw)</t>
  </si>
  <si>
    <t>Excavator (92kw)</t>
  </si>
  <si>
    <r>
      <t>Compressor (600cmf 17m</t>
    </r>
    <r>
      <rPr>
        <vertAlign val="superscript"/>
        <sz val="10"/>
        <rFont val="Arial"/>
        <family val="2"/>
      </rPr>
      <t>3</t>
    </r>
    <r>
      <rPr>
        <sz val="10"/>
        <rFont val="Arial"/>
        <family val="2"/>
      </rPr>
      <t>/min Cimplete with two tools and operators)</t>
    </r>
  </si>
  <si>
    <r>
      <t>Dump Truck 6m</t>
    </r>
    <r>
      <rPr>
        <vertAlign val="superscript"/>
        <sz val="10"/>
        <rFont val="Arial"/>
        <family val="2"/>
      </rPr>
      <t>3</t>
    </r>
  </si>
  <si>
    <t xml:space="preserve">Flatbed truck </t>
  </si>
  <si>
    <t>Dozer (123kw)</t>
  </si>
  <si>
    <t>Pedestrian vibrating roller (1.4 ton)</t>
  </si>
  <si>
    <t>Water spray truck (7000l)</t>
  </si>
  <si>
    <t>400/231 volt 3-phase power outlet plug point</t>
  </si>
  <si>
    <t>C1.6.3</t>
  </si>
  <si>
    <t>Loading from stockpile using machines and some hand labour where necessary</t>
  </si>
  <si>
    <t>Clearing, shaping and disposal of accumulated sediment in existing unlined open drains</t>
  </si>
  <si>
    <t>Natural pemeable material in subsoil drainage system 
( approved crushed stone ):</t>
  </si>
  <si>
    <t>Crushed stone obtained from commercial sources (Coarse Grade - 19mm)</t>
  </si>
  <si>
    <t>Natural sand from commercial sources ( Coarse)</t>
  </si>
  <si>
    <t>U-PVC pipes and fittings , normal duty, complete with coupling ( 110mm and  perforated or slotted)</t>
  </si>
  <si>
    <t>Geotextile (non-woven, grade 2 )</t>
  </si>
  <si>
    <t>Extra over sub-item C3.2.1.1 for excavation in hard or boulder material, irrespective of depth</t>
  </si>
  <si>
    <t>From commercial sources (G6)</t>
  </si>
  <si>
    <t>From sources on site (G6)</t>
  </si>
  <si>
    <t>On Class C bedding Class 100D</t>
  </si>
  <si>
    <t>1) 450 mm Diameter</t>
  </si>
  <si>
    <t>2) 600 mm Diameter</t>
  </si>
  <si>
    <t>3) 900 mm Diameter</t>
  </si>
  <si>
    <t>Provision of skew ends of pipe culvert (Class 100D)</t>
  </si>
  <si>
    <t>(i) 450 mm diameter</t>
  </si>
  <si>
    <t>(ii) 600 mm diameter</t>
  </si>
  <si>
    <t>(ii) 900 mm diameter</t>
  </si>
  <si>
    <t>Removing and stacking existing culverts for re-use</t>
  </si>
  <si>
    <t>(a) Class 100D:</t>
  </si>
  <si>
    <t>Benching</t>
  </si>
  <si>
    <t>Manhole frames (Frame and Grid as per SD 0602/B)</t>
  </si>
  <si>
    <t>Preparation and compaction of in situ bedding material to 90 % of MDD (150mm Deep)</t>
  </si>
  <si>
    <t xml:space="preserve"> 110 mm diameter (OD)</t>
  </si>
  <si>
    <t xml:space="preserve"> 160 mm diameter (OD)</t>
  </si>
  <si>
    <t>UPVC Ordinary pipes, spigot and socket joints</t>
  </si>
  <si>
    <t>Concrete encasement of ducts (Class 25/13 Concrete)</t>
  </si>
  <si>
    <t>Duct markers (240mm x 50mm x 900mm Class 25/13 Concrete as per Drawing SD1002/C)</t>
  </si>
  <si>
    <t>Draw wires (Galvanised Wire)</t>
  </si>
  <si>
    <t>SABS 927 figure 6, as shown on drawing no. SD 0701/A</t>
  </si>
  <si>
    <t xml:space="preserve">Prefabricated kerbing </t>
  </si>
  <si>
    <t>500 mm wide kerb and channel using prefabricated battered kerb, radius greater than 20 m, SABS 927 figure 6, with cast in situ class 15/19 concrete channel, as shown on drawing no. SD 0701/A</t>
  </si>
  <si>
    <t>(a) Cast in situ class 20/19 concrete lining in open drains:</t>
  </si>
  <si>
    <t>(i) V-drains (as shown on drawing no. SD 0601/C) SD 0601/C)</t>
  </si>
  <si>
    <t>(ii) 1.8m wide footway</t>
  </si>
  <si>
    <t xml:space="preserve">Cast in situ concrete lining </t>
  </si>
  <si>
    <t>(i) V-drains</t>
  </si>
  <si>
    <t>Class U2 surface finish to cast in situ concrete</t>
  </si>
  <si>
    <t>Grouted stone pitching (V - Drain)</t>
  </si>
  <si>
    <t>Grouted stone pitching on a concrete bed (Class 25/13 Concrete, V-Drain)</t>
  </si>
  <si>
    <t>Concrete screed or backfill below chutes (50mm thick class 15/13 MPa Concrete)</t>
  </si>
  <si>
    <t>(a) Construction joints</t>
  </si>
  <si>
    <t>(b) Expansion joints</t>
  </si>
  <si>
    <t>Sealed joints in concrete and stone pitched linings of open drains (sealed with a closed cell expanded polyethylene joint filler over the full panel depth, as per Note 3 on drawing no. SD 0601/C)</t>
  </si>
  <si>
    <t>Polymer film sheeting (0.15mm thick) for concrete-lined open drains</t>
  </si>
  <si>
    <t xml:space="preserve">Borrow pits </t>
  </si>
  <si>
    <t>(1) borrow pit 1</t>
  </si>
  <si>
    <t>(2) borrow pit 2</t>
  </si>
  <si>
    <t>Ablution unit (Male and Female unit -Equipped with hand wash basin and Toilet)</t>
  </si>
  <si>
    <t>Kithcen unit (Equipped with basin, Micorwave and Refrigerator )</t>
  </si>
  <si>
    <t xml:space="preserve">Outlet structures </t>
  </si>
  <si>
    <t xml:space="preserve">(a) In situ outlet structures for side drains, class 20/19 concrete, complete as shown on drawing no. SD 0603/A (detail SD 0603/1) </t>
  </si>
  <si>
    <t>Cleaning eyes ( Rodding Eye, complete as shown in drawing no. SD 0501/A)</t>
  </si>
  <si>
    <t>(i) 2,0m long x 1,0m wide x 1,0m deep (mesh size 80mm x 100mm, with 2,7mm OD frame wire &amp; 2,2mm OD mesh wire)</t>
  </si>
  <si>
    <t>(i) 6,0m long x 2,0m wide x 0,3m deep (mesh size 80mm x 100mm, with 2,5mm OD frame wire and 2,2m OD mesh wire, diaphragm spacing 1,0m)</t>
  </si>
  <si>
    <t>Kilometre markers on posts (Concrete 450mm diamater pipes and as per SD1003/B)</t>
  </si>
  <si>
    <t>On timber posts (Drawing SD 1101/B)</t>
  </si>
  <si>
    <t>End treatments where single guardrail sections are specified (As per drawing SD 1102/A)</t>
  </si>
  <si>
    <t>End treatments where double guardrail sections are specified (As per drawing SD 1102/A)</t>
  </si>
  <si>
    <t>Zinc-coated barbed wire (SABS 675) - High-tensile-grade, single-strand 3,15mm x 2,50mm oval-shaped wire - Galvanised, Class A</t>
  </si>
  <si>
    <t xml:space="preserve">Standards 2,0m x 2,5 kg/m mild steel y section </t>
  </si>
  <si>
    <t xml:space="preserve">Droppers 1,4m x 0,56 kg/m mild steel ridge back section </t>
  </si>
  <si>
    <t xml:space="preserve">Steel straining posts (Notched 2100 x 125mm galvanized &amp; anchored in concrete) </t>
  </si>
  <si>
    <t>Steel stays and anchors (100mm diameter and wall thickness 3mm)</t>
  </si>
  <si>
    <t>Vertical</t>
  </si>
  <si>
    <t>Repairing existing fences (Stock Proof)</t>
  </si>
  <si>
    <t>600 mm diameter (signboard material - Steel Plate 1.4mm thick, background - Class I and symbol retro-reflective class III)</t>
  </si>
  <si>
    <t xml:space="preserve">Timber </t>
  </si>
  <si>
    <t>(i) 125 mm diameter - CCA Treated</t>
  </si>
  <si>
    <t>(ii) 150 mm diameter - CCA Treated</t>
  </si>
  <si>
    <t>White lines broken or unbroken (Retro-reflective road-marking paint)</t>
  </si>
  <si>
    <t>(i) 100 mm wide</t>
  </si>
  <si>
    <t>(ii) 200 mm wide</t>
  </si>
  <si>
    <t>Yellow lines broken or unbroken (Retro-reflective road-marking paint)</t>
  </si>
  <si>
    <t>Red lines broken or unbroken (Retro-reflective road-marking paint)</t>
  </si>
  <si>
    <t>Labour enhanced hand painted white lettering and symbols (Retro-reflective road-marking paint)</t>
  </si>
  <si>
    <t>Labour enhanced hand painted yellow lettering and symbols (Retro-reflective road-marking paint)</t>
  </si>
  <si>
    <t>Labour enhanced hand painted transverse lines, painted island and arrestor bed markings (any colour) (Retro-reflective road-marking paint)</t>
  </si>
  <si>
    <t>(a) 100 mm x 100 mm x 20 mm high, plastic stick­on type with 43-bead glass reflectors (bi­directional type, any colour)</t>
  </si>
  <si>
    <t>Permanent road studs compliant to SANS 1463</t>
  </si>
  <si>
    <t>Trees (indigenous - 50kg)</t>
  </si>
  <si>
    <t>Excavate non-compliant or excess pavement layer material to spoil in sites designated by the Contractor, material consisting of:</t>
  </si>
  <si>
    <t>C10/C8.4.1.2</t>
  </si>
  <si>
    <t>Construction of layers using conventional construction methods:</t>
  </si>
  <si>
    <t>Upper subbase gravel layer (chemically stabilised) (200mm) compacted to 98% of MDD</t>
  </si>
  <si>
    <t>Upper selected subgrade layer (150mm) compacted to 95% of MDD</t>
  </si>
  <si>
    <t>Gravel shoulder layer (180mm) compacted to 95% of MDD</t>
  </si>
  <si>
    <t>Chemical stabilisation (layer thickness of 200mm) of pavement layers (Subbase layer to be stabilised to a C4)</t>
  </si>
  <si>
    <t>C1.5.4/C1.6.1.1</t>
  </si>
  <si>
    <t>C11.2/C13.1.8.1</t>
  </si>
  <si>
    <t>C11.2/C13.1.14</t>
  </si>
  <si>
    <t>Mass concrete (class 15/35)</t>
  </si>
  <si>
    <t>Imported material (G7)</t>
  </si>
  <si>
    <t>Mass concrete (15/35)</t>
  </si>
  <si>
    <t>Concrete blinding (75mm Thick and Class 15/19)</t>
  </si>
  <si>
    <t>PART 1: STC 4189 - 3/2.0 x 2.25m BOX CULVERT</t>
  </si>
  <si>
    <t>1/C13.1</t>
  </si>
  <si>
    <t>1/C13.1.3</t>
  </si>
  <si>
    <t>1/C13.1.3.1</t>
  </si>
  <si>
    <t>1/C13.1.3.2</t>
  </si>
  <si>
    <t>1/C13.1.3.3</t>
  </si>
  <si>
    <t>1/C13.1.4</t>
  </si>
  <si>
    <t>1/C13.1.4.1</t>
  </si>
  <si>
    <t>1/C13.1.4.2</t>
  </si>
  <si>
    <t>1/C13.1.4.3</t>
  </si>
  <si>
    <t>1/C13.1.8</t>
  </si>
  <si>
    <t>1/C13.1.8.1</t>
  </si>
  <si>
    <t>1/C13.1.8.2</t>
  </si>
  <si>
    <t>1/C13.1.9</t>
  </si>
  <si>
    <t>1/C13.1.10</t>
  </si>
  <si>
    <t>1/C13.1.12</t>
  </si>
  <si>
    <t>1/C13.1.14</t>
  </si>
  <si>
    <t>1/C13.1.14.1</t>
  </si>
  <si>
    <t>1/C13.1.14.4</t>
  </si>
  <si>
    <t>1/C13.1.14.5</t>
  </si>
  <si>
    <t>Vertical formwork to provide :</t>
  </si>
  <si>
    <t>(a)   Class F1 surface finish to:</t>
  </si>
  <si>
    <t>(i)   Floor slabs and cut-off walls</t>
  </si>
  <si>
    <t>(ii) Culvert walls</t>
  </si>
  <si>
    <t>(iii) Wingwalls</t>
  </si>
  <si>
    <t>(iv) Movement joints</t>
  </si>
  <si>
    <t>(v) Deck slab and headwalls</t>
  </si>
  <si>
    <t>(b)   Class F2 surface finish to:</t>
  </si>
  <si>
    <t>(i) Culvert walls</t>
  </si>
  <si>
    <t>(ii) Deck slab and wingwalls</t>
  </si>
  <si>
    <t xml:space="preserve">Horizontal formwork to provide </t>
  </si>
  <si>
    <t>(a) Class F2 surface finish to:</t>
  </si>
  <si>
    <t>(i) Deck slab</t>
  </si>
  <si>
    <t xml:space="preserve">Inclined formwork to provide </t>
  </si>
  <si>
    <t>(a)   Class F2 surface finish to:</t>
  </si>
  <si>
    <t>(i)  Underside of deck slab</t>
  </si>
  <si>
    <t>(ii) Culvert floor</t>
  </si>
  <si>
    <t>1/C13.2</t>
  </si>
  <si>
    <t>1/C13.2.2</t>
  </si>
  <si>
    <t>1/C13.2.3</t>
  </si>
  <si>
    <t>1/C13.2.4</t>
  </si>
  <si>
    <t>(a) Roof Slab</t>
  </si>
  <si>
    <t>(b) Floor Slab</t>
  </si>
  <si>
    <t>(c) Wingwalls</t>
  </si>
  <si>
    <t>(d) Culvert Walls</t>
  </si>
  <si>
    <t>(1) Roof Slab</t>
  </si>
  <si>
    <t>(2) Floor Slab</t>
  </si>
  <si>
    <t>(3) Wingwalls</t>
  </si>
  <si>
    <t>(4) Culvert Walls</t>
  </si>
  <si>
    <t>(b) High yield stress steel bars</t>
  </si>
  <si>
    <t>1/C13.3</t>
  </si>
  <si>
    <t>1/C13.3.1</t>
  </si>
  <si>
    <t>1/C13.3.1.1</t>
  </si>
  <si>
    <t xml:space="preserve">Cast in situ concrete </t>
  </si>
  <si>
    <t>Strength concrete (class 30/19):</t>
  </si>
  <si>
    <r>
      <t>m</t>
    </r>
    <r>
      <rPr>
        <vertAlign val="superscript"/>
        <sz val="9"/>
        <rFont val="Arial"/>
        <family val="2"/>
      </rPr>
      <t>3</t>
    </r>
  </si>
  <si>
    <t>1/C13.4</t>
  </si>
  <si>
    <t>1/C13.4.1</t>
  </si>
  <si>
    <t>1/C13.4.1.1</t>
  </si>
  <si>
    <t>Cast in situ no-fines concrete (Class NF 19)</t>
  </si>
  <si>
    <t>M65 Netlon Pipes</t>
  </si>
  <si>
    <t>Non Ferrous 50mm dia.</t>
  </si>
  <si>
    <t>Size (110mm diameter) and perforated pipe wrapped in synthetic – filter fabric as specified (Geotectile Grade A4.)</t>
  </si>
  <si>
    <t>Drainage strips (Netlon DN1 325mm wide)</t>
  </si>
  <si>
    <t>Synthetic-fibre filter fabric (Geotextile Grade A4)</t>
  </si>
  <si>
    <t>(a)  Sikaflex PRO-3Wf or similar approved sealant (as shown on drawings):</t>
  </si>
  <si>
    <t>(b) 300mm x 1.6mm galvanised mild steel strip (as shown on the drawings)</t>
  </si>
  <si>
    <t>25mm bituminous impregnated softboard</t>
  </si>
  <si>
    <t>1/C13.8</t>
  </si>
  <si>
    <t>1/C13.8.7</t>
  </si>
  <si>
    <t>1/C13.8.7.2</t>
  </si>
  <si>
    <t>1/C13.8.7.3</t>
  </si>
  <si>
    <t>1/C13.8.8</t>
  </si>
  <si>
    <t>1/C13.8.10</t>
  </si>
  <si>
    <t>1/C13.8.10.1</t>
  </si>
  <si>
    <t>1/C13.8.10.2</t>
  </si>
  <si>
    <t>1/C13.8.12</t>
  </si>
  <si>
    <t>1/C13.8.14</t>
  </si>
  <si>
    <t>1/C13.8.15</t>
  </si>
  <si>
    <t>1/C13.8.16</t>
  </si>
  <si>
    <t>1/C13.8.16.1</t>
  </si>
  <si>
    <t>1/C13.7</t>
  </si>
  <si>
    <t>1/C13.7.2</t>
  </si>
  <si>
    <t>1/C13.7.2.1</t>
  </si>
  <si>
    <t>1/C13.7.4</t>
  </si>
  <si>
    <t>1/C13.7.4.1</t>
  </si>
  <si>
    <t>1/C13.7.4.2</t>
  </si>
  <si>
    <t>PART 2: STC 3389 - 1/3.0 x 2.m BOX CULVERT</t>
  </si>
  <si>
    <t>2/C13.1</t>
  </si>
  <si>
    <t>2/C13.1.3</t>
  </si>
  <si>
    <t>2/C13.1.3.1</t>
  </si>
  <si>
    <t>2/C13.1.3.2</t>
  </si>
  <si>
    <t>2/C13.1.3.3</t>
  </si>
  <si>
    <t>2/C13.1.4</t>
  </si>
  <si>
    <t>2/C13.1.4.1</t>
  </si>
  <si>
    <t>2/C13.1.4.2</t>
  </si>
  <si>
    <t>2/C13.1.4.3</t>
  </si>
  <si>
    <t>2/C13.1.8</t>
  </si>
  <si>
    <t>2/C13.1.8.1</t>
  </si>
  <si>
    <t>2/C13.1.8.2</t>
  </si>
  <si>
    <t>2/C13.1.10</t>
  </si>
  <si>
    <t>2/C13.1.12</t>
  </si>
  <si>
    <t>2/C13.1.14</t>
  </si>
  <si>
    <t>2/C13.1.14.1</t>
  </si>
  <si>
    <t>2/C13.1.14.4</t>
  </si>
  <si>
    <t>2/C13.1.14.5</t>
  </si>
  <si>
    <t>2/C13.2</t>
  </si>
  <si>
    <t>2/C13.2.2</t>
  </si>
  <si>
    <t>2/C13.2.3</t>
  </si>
  <si>
    <t>2/C13.2.4</t>
  </si>
  <si>
    <t>2/C13.3.1</t>
  </si>
  <si>
    <t>2/C13.3</t>
  </si>
  <si>
    <t>2/C13.3.1.1</t>
  </si>
  <si>
    <t>2/C13.4</t>
  </si>
  <si>
    <t>2/C13.4.1</t>
  </si>
  <si>
    <t>2/C13.4.1.1</t>
  </si>
  <si>
    <t>2/C13.7.2</t>
  </si>
  <si>
    <t>2/C13.7</t>
  </si>
  <si>
    <t>2/C13.7.2.1</t>
  </si>
  <si>
    <t>2/C13.7.4</t>
  </si>
  <si>
    <t>2/C13.7.4.1</t>
  </si>
  <si>
    <t>2/C13.7.4.2</t>
  </si>
  <si>
    <t>2/C13.8</t>
  </si>
  <si>
    <t>2/C13.8.7</t>
  </si>
  <si>
    <t>2/C13.8.7.2</t>
  </si>
  <si>
    <t>2/C13.8.7.3</t>
  </si>
  <si>
    <t>2/C13.8.8</t>
  </si>
  <si>
    <t>2/C13.8.10</t>
  </si>
  <si>
    <t>2/C13.8.10.1</t>
  </si>
  <si>
    <t>2/C13.8.10.2</t>
  </si>
  <si>
    <t>2/C13.8.12</t>
  </si>
  <si>
    <t>2/C13.8.14</t>
  </si>
  <si>
    <t>2/C13.8.15</t>
  </si>
  <si>
    <t>2/C13.8.16</t>
  </si>
  <si>
    <t>2/C13.8.16.1</t>
  </si>
  <si>
    <t>PART 3: STC 4191 - 1/1.8 x 1.8m BOX CULVERT</t>
  </si>
  <si>
    <t>3/C13.1.3</t>
  </si>
  <si>
    <t>3/C13.1</t>
  </si>
  <si>
    <t>3/C13.1.3.1</t>
  </si>
  <si>
    <t>3/C13.1.3.2</t>
  </si>
  <si>
    <t>3/C13.1.3.3</t>
  </si>
  <si>
    <t>3/C13.1.4</t>
  </si>
  <si>
    <t>3/C13.1.4.1</t>
  </si>
  <si>
    <t>3/C13.1.4.2</t>
  </si>
  <si>
    <t>3/C13.1.4.3</t>
  </si>
  <si>
    <t>3/C13.1.8</t>
  </si>
  <si>
    <t>3/C13.1.8.1</t>
  </si>
  <si>
    <t>3/C13.1.8.2</t>
  </si>
  <si>
    <t>3/C13.1.9</t>
  </si>
  <si>
    <t>2/C13.1.9</t>
  </si>
  <si>
    <t>3/C13.1.10</t>
  </si>
  <si>
    <t>3/C13.1.12</t>
  </si>
  <si>
    <t>3/C13.1.14</t>
  </si>
  <si>
    <t>3/C13.1.14.1</t>
  </si>
  <si>
    <t>3/C13.1.14.4</t>
  </si>
  <si>
    <t>3/C13.1.14.5</t>
  </si>
  <si>
    <t>3/C13.2</t>
  </si>
  <si>
    <t>3/C13.2.2</t>
  </si>
  <si>
    <t>3/C13.2.3</t>
  </si>
  <si>
    <t>3/C13.2.4</t>
  </si>
  <si>
    <t>3/C13.3.1</t>
  </si>
  <si>
    <t>3/C13.3</t>
  </si>
  <si>
    <t>3/C13.3.1.1</t>
  </si>
  <si>
    <t>3/C13.4</t>
  </si>
  <si>
    <t>3/C13.4.1</t>
  </si>
  <si>
    <t>3/C13.4.1.1</t>
  </si>
  <si>
    <t>3/C13.7</t>
  </si>
  <si>
    <t>3/C13.7.2</t>
  </si>
  <si>
    <t>3/C13.7.2.1</t>
  </si>
  <si>
    <t>3/C13.7.4</t>
  </si>
  <si>
    <t>3/C13.7.4.1</t>
  </si>
  <si>
    <t>3/C13.7.4.2</t>
  </si>
  <si>
    <t>3/C13.8</t>
  </si>
  <si>
    <t>3/C13.8.7</t>
  </si>
  <si>
    <t>3/C13.8.7.2</t>
  </si>
  <si>
    <t>3/C13.8.7.3</t>
  </si>
  <si>
    <t>3/C13.8.8</t>
  </si>
  <si>
    <t>3/C13.8.10</t>
  </si>
  <si>
    <t>3/C13.8.10.1</t>
  </si>
  <si>
    <t>3/C13.8.10.2</t>
  </si>
  <si>
    <t>3/C13.8.12</t>
  </si>
  <si>
    <t>3/C13.8.14</t>
  </si>
  <si>
    <t>3/C13.8.15</t>
  </si>
  <si>
    <t>3/C13.8.16</t>
  </si>
  <si>
    <t>3/C13.8.16.1</t>
  </si>
  <si>
    <t>C1.5</t>
  </si>
  <si>
    <t>DETERMINATION OF CPG SHARE AND LABOUR INTENSITY</t>
  </si>
  <si>
    <t>1CE PE</t>
  </si>
  <si>
    <t>2CE PE</t>
  </si>
  <si>
    <t>3CE PE</t>
  </si>
  <si>
    <t>4CE PE</t>
  </si>
  <si>
    <t>5CE PE</t>
  </si>
  <si>
    <t>6CE PE</t>
  </si>
  <si>
    <t>SECTION</t>
  </si>
  <si>
    <t>CPG SHARE</t>
  </si>
  <si>
    <r>
      <t xml:space="preserve">CPG AMOUNT
</t>
    </r>
    <r>
      <rPr>
        <sz val="9"/>
        <rFont val="Arial"/>
        <family val="2"/>
      </rPr>
      <t>(excl. overheads)</t>
    </r>
  </si>
  <si>
    <t>LABOUR INTENSIVE AMT</t>
  </si>
  <si>
    <t>% of Section</t>
  </si>
  <si>
    <t>% of Total</t>
  </si>
  <si>
    <t>R0,50 m</t>
  </si>
  <si>
    <t>R1.00 m</t>
  </si>
  <si>
    <t>R3,00 m</t>
  </si>
  <si>
    <t>R6,00 m</t>
  </si>
  <si>
    <t>R10.00 m</t>
  </si>
  <si>
    <t>R20,00 m</t>
  </si>
  <si>
    <t>TOTAL SCHEDULE A : ROADWORKS</t>
  </si>
  <si>
    <t>TOTAL SCHEDULE B : STRUCTURES</t>
  </si>
  <si>
    <t>TOTAL SCHEDULE D : DAYWORKS</t>
  </si>
  <si>
    <t>TOTAL SCHEDULE F: EXPANDED PUBLIC WORKS PROGRAMME</t>
  </si>
  <si>
    <t>SUBTOTAL: SCHEDULE A, B, D &amp; F (incl items to be allocated to CPG)</t>
  </si>
  <si>
    <t>Projected amount for to CPG contractors &amp; materials</t>
  </si>
  <si>
    <t xml:space="preserve">Projected Labour Amount:  </t>
  </si>
  <si>
    <t>Employer's Generic Target CPG Amount:</t>
  </si>
  <si>
    <t xml:space="preserve">Subtotal 1:  </t>
  </si>
  <si>
    <t>Employment Oppertunities</t>
  </si>
  <si>
    <t>Unskilled</t>
  </si>
  <si>
    <t>Skilled (20%)</t>
  </si>
  <si>
    <t>SCHEDULE B - STRUCTURES</t>
  </si>
  <si>
    <t>OLD</t>
  </si>
  <si>
    <t>TOTAL SCHEDULE G: CONTRACT PARTICIPATION GOALS</t>
  </si>
  <si>
    <t>Subtotal 1</t>
  </si>
  <si>
    <t>Subtotal 2</t>
  </si>
  <si>
    <t>Subtotal 3</t>
  </si>
  <si>
    <t>Difference</t>
  </si>
  <si>
    <t>20 mm and 10 mm aggregate (Grade A aggregate and 70/100 Penetration grade bitumen binder)</t>
  </si>
  <si>
    <t>Extra-over for sealing during the specified embargo period (Double seal -20mm+10mm Grade A Aggregate with 70/100 penetration grade bitumen cut back with 4% paraffin)</t>
  </si>
  <si>
    <t>Aggregate variation (Grade A):</t>
  </si>
  <si>
    <t>Coarse slurry (Type 1 -Aggregate Grade A and Stabel grade emulsion)</t>
  </si>
  <si>
    <t>30 % Diluted Anionic stable-grade emulsion (50% and 50% emulsion )</t>
  </si>
  <si>
    <t>Single sided, reversible left or right (1000mm x 250mm)</t>
  </si>
  <si>
    <t>Double sided, reversible left or right (1000 mm x 250mm)</t>
  </si>
  <si>
    <t>Illuminated road sign - R &amp; TR series (1200mm dia.)</t>
  </si>
  <si>
    <t>Illuminated road sign - TW series (1200mm sides)</t>
  </si>
  <si>
    <t>Test on Aggregates - SANS 3001-AG16 (Durability mill index)</t>
  </si>
  <si>
    <t>Test on Aggregates - SANS 3001-AG11 (Polished stone value of Aggregate)</t>
  </si>
  <si>
    <t>Test on cementitiouslu stabilised materials - SANS 3001-GR56 (Wet and Dry Durability Test)</t>
  </si>
  <si>
    <t>SUMMARY OF SECTIONS</t>
  </si>
  <si>
    <t>Contingencies:</t>
  </si>
  <si>
    <t>CPA:</t>
  </si>
  <si>
    <t xml:space="preserve">Signed on behalf of the Tenderer: ……………………………………………………. (Signature)
Date: …………………………………………………..
Tenderer’s Name: ………………………………………………………………. (Company Name)
</t>
  </si>
  <si>
    <t>TOTAL SCHEDULE E: EXPANDED PUBLIC WORKS PROGRAMME</t>
  </si>
  <si>
    <t>TOTAL SCHEDULE F: CONTRACT PARTICIPATION GOALS</t>
  </si>
  <si>
    <t>Summary</t>
  </si>
  <si>
    <t>Pages</t>
  </si>
  <si>
    <t>LI Rate</t>
  </si>
  <si>
    <t>LI Amount</t>
  </si>
  <si>
    <t>LI Calculation</t>
  </si>
  <si>
    <t>LI Comments</t>
  </si>
  <si>
    <t>Labour Rate /hr</t>
  </si>
  <si>
    <t>Hrs /day</t>
  </si>
  <si>
    <t>Labour Rate /day</t>
  </si>
  <si>
    <t>10 Squares an hour</t>
  </si>
  <si>
    <t>Item</t>
  </si>
  <si>
    <t>Unit</t>
  </si>
  <si>
    <t>Rate</t>
  </si>
  <si>
    <t>Reference</t>
  </si>
  <si>
    <t>Productivity</t>
  </si>
  <si>
    <t>Haulage R/m/m³</t>
  </si>
  <si>
    <t>_HaulPerMetre</t>
  </si>
  <si>
    <t xml:space="preserve">70sec/0.06m³/50m             </t>
  </si>
  <si>
    <t xml:space="preserve">[LR x 70 / 60 / 60 / 0.06]                   </t>
  </si>
  <si>
    <t>Haulage Dist (m)</t>
  </si>
  <si>
    <r>
      <t>Haulage R/m</t>
    </r>
    <r>
      <rPr>
        <sz val="10"/>
        <rFont val="Calibri"/>
        <family val="2"/>
      </rPr>
      <t>³</t>
    </r>
  </si>
  <si>
    <t>_Haul</t>
  </si>
  <si>
    <r>
      <t>Concrete Mix (R/m</t>
    </r>
    <r>
      <rPr>
        <sz val="10"/>
        <rFont val="Calibri"/>
        <family val="2"/>
      </rPr>
      <t>³</t>
    </r>
    <r>
      <rPr>
        <sz val="10"/>
        <rFont val="Arial"/>
        <family val="2"/>
      </rPr>
      <t>)</t>
    </r>
  </si>
  <si>
    <t>_Mix</t>
  </si>
  <si>
    <t xml:space="preserve">105 mins/m³ (7pkts mix/m³) [105 / 60 x LR x 5] </t>
  </si>
  <si>
    <t>Conc. Place &amp; Compact</t>
  </si>
  <si>
    <t>_Place</t>
  </si>
  <si>
    <t>Same rate as for mixing by hand</t>
  </si>
  <si>
    <t>Brick walling</t>
  </si>
  <si>
    <r>
      <t>m</t>
    </r>
    <r>
      <rPr>
        <sz val="10"/>
        <rFont val="Arial"/>
        <family val="2"/>
      </rPr>
      <t>²</t>
    </r>
  </si>
  <si>
    <t>_Brickwork</t>
  </si>
  <si>
    <t>5 m²/day for 4 labour-equivalent</t>
  </si>
  <si>
    <t>Soft Excavation (incl. haul)</t>
  </si>
  <si>
    <t>_Excavation</t>
  </si>
  <si>
    <t>2.5m³ /day + haul: 70sec/0.06m³/50m</t>
  </si>
  <si>
    <t>Compaction (hand stamper)</t>
  </si>
  <si>
    <t>_Stamp</t>
  </si>
  <si>
    <t>5m² /hr @ 100mm deep</t>
  </si>
  <si>
    <t>Compactoin (wacker)</t>
  </si>
  <si>
    <t>_Wacker</t>
  </si>
  <si>
    <t>20m² /hr @ 150mm deep</t>
  </si>
  <si>
    <t>Spread (e.g. stone)</t>
  </si>
  <si>
    <t>_Spread</t>
  </si>
  <si>
    <t>8m³ / man / hour</t>
  </si>
  <si>
    <t>_Plaster</t>
  </si>
  <si>
    <r>
      <t>(Team = 1 Artisan + 2 Labour = 4 Labour equivalent) @ 25m</t>
    </r>
    <r>
      <rPr>
        <sz val="10"/>
        <rFont val="Arial"/>
        <family val="2"/>
      </rPr>
      <t>² /day</t>
    </r>
  </si>
  <si>
    <t>_Benching</t>
  </si>
  <si>
    <t>(Team = 1 Artisan + 2 Labour = 4 Labour equivalent) @ 15m² /day</t>
  </si>
  <si>
    <t>Clearing and grubbing</t>
  </si>
  <si>
    <t>_Clearing</t>
  </si>
  <si>
    <t>10m² /hr</t>
  </si>
  <si>
    <t>Backfill (incl wacker)</t>
  </si>
  <si>
    <t>_Backfill</t>
  </si>
  <si>
    <r>
      <t>10m</t>
    </r>
    <r>
      <rPr>
        <sz val="10"/>
        <rFont val="Arial"/>
        <family val="2"/>
      </rPr>
      <t>³</t>
    </r>
    <r>
      <rPr>
        <sz val="10"/>
        <rFont val="Arial"/>
        <family val="2"/>
      </rPr>
      <t xml:space="preserve"> /day + wacker</t>
    </r>
  </si>
  <si>
    <t>Formwork (std shutters)</t>
  </si>
  <si>
    <t>_Formwork</t>
  </si>
  <si>
    <t>3 man hours/m²</t>
  </si>
  <si>
    <t>Weld Mesh</t>
  </si>
  <si>
    <t>_Mesh</t>
  </si>
  <si>
    <t>100 man hours / ton</t>
  </si>
  <si>
    <t>Polyethylene Sheeting</t>
  </si>
  <si>
    <t>_Sheeting</t>
  </si>
  <si>
    <t>5min /m²</t>
  </si>
  <si>
    <t>Filter Fabric</t>
  </si>
  <si>
    <t>_Geofabric</t>
  </si>
  <si>
    <t>2 man team 4min per m² [(LR x 2men x 4min / 60min)]</t>
  </si>
  <si>
    <t>Subsoil Pipe</t>
  </si>
  <si>
    <t>_Subsoil</t>
  </si>
  <si>
    <t>2 man team 15min per pipe [(LR x 2men x 15min / 60min) / 2.5m]</t>
  </si>
  <si>
    <t>Expansion Joints (sealed)</t>
  </si>
  <si>
    <t>_Expansion</t>
  </si>
  <si>
    <t>20m / 5 man hours/m [5/20 x LR]</t>
  </si>
  <si>
    <t>Kerb bedding &amp; laying</t>
  </si>
  <si>
    <t>_Kerb</t>
  </si>
  <si>
    <t>[Concrete x0.3m wide x0.075 deep)] + [70m kerbs/team/day (team of 4-equivalent)]</t>
  </si>
  <si>
    <t>Kerb &amp; channel</t>
  </si>
  <si>
    <t>_KandC</t>
  </si>
  <si>
    <t>Excavation (0.5m x 0.1m) + Concrete (0.5m x 0.1m) + Kerb</t>
  </si>
  <si>
    <t>Gabion</t>
  </si>
  <si>
    <t>_Gabion</t>
  </si>
  <si>
    <t>1m³/man/day</t>
  </si>
  <si>
    <t>Guardrail Posts</t>
  </si>
  <si>
    <t>No.</t>
  </si>
  <si>
    <t>_GPost</t>
  </si>
  <si>
    <t>8 posts /team/day (4-equivalent team)</t>
  </si>
  <si>
    <t>Guardrail Erection</t>
  </si>
  <si>
    <t>_GRail</t>
  </si>
  <si>
    <t>26m/team/day [LR x 9 x 4 / 26]</t>
  </si>
  <si>
    <t>Road Sign &amp; Pole Erect</t>
  </si>
  <si>
    <t>_Sign</t>
  </si>
  <si>
    <r>
      <t>2 hours per sign per team (4-equivalent) (up to 2m</t>
    </r>
    <r>
      <rPr>
        <sz val="10"/>
        <rFont val="Calibri"/>
        <family val="2"/>
      </rPr>
      <t>²</t>
    </r>
    <r>
      <rPr>
        <sz val="10"/>
        <rFont val="Arial"/>
        <family val="2"/>
      </rPr>
      <t xml:space="preserve"> size)</t>
    </r>
  </si>
  <si>
    <t>Concrete Vol</t>
  </si>
  <si>
    <t>Area</t>
  </si>
  <si>
    <t>Crushed stone in drainage strips (20mm)</t>
  </si>
  <si>
    <t>UPGRADING OF MAIN ROAD P8/3 FROM GRAVEL TO BLACKTOP BETWEEN KM 17.560 AND KM 24.221 IN THE PIETERMARITZBURG REGION</t>
  </si>
  <si>
    <t>C4.2.1</t>
  </si>
  <si>
    <t>Compiling and implimenting M&amp;U plans for the cuttings</t>
  </si>
  <si>
    <t>C4.2.1.1</t>
  </si>
  <si>
    <r>
      <t>Cuttings exceeding 5 000 m</t>
    </r>
    <r>
      <rPr>
        <vertAlign val="superscript"/>
        <sz val="10"/>
        <rFont val="Arial"/>
        <family val="2"/>
      </rPr>
      <t>3</t>
    </r>
    <r>
      <rPr>
        <sz val="10"/>
        <rFont val="Arial"/>
        <family val="2"/>
      </rPr>
      <t xml:space="preserve"> up to 10 000 m3</t>
    </r>
  </si>
  <si>
    <t>Grubbing with machines and some hand labour where necessary</t>
  </si>
  <si>
    <t>Grubbing with hand labour only when labour enhanced work is specified or it is not practical to use a machine</t>
  </si>
  <si>
    <t>G2 crushed stone base layer (150mm) compacted to 85% of BD</t>
  </si>
  <si>
    <t>Certified product containing no solvents (E-Prime)</t>
  </si>
  <si>
    <t>C4.2.1.2</t>
  </si>
  <si>
    <r>
      <t>Cuttings exceeding 10 000 m</t>
    </r>
    <r>
      <rPr>
        <vertAlign val="superscript"/>
        <sz val="10"/>
        <rFont val="Arial"/>
        <family val="2"/>
      </rPr>
      <t>3</t>
    </r>
    <r>
      <rPr>
        <sz val="10"/>
        <rFont val="Arial"/>
        <family val="2"/>
      </rPr>
      <t xml:space="preserve"> up to 20 000 m3</t>
    </r>
  </si>
  <si>
    <t>P.S.C1.2.10</t>
  </si>
  <si>
    <t>Community Participation</t>
  </si>
  <si>
    <t>(a) Cost for community Participation (PLC and CLO)</t>
  </si>
  <si>
    <t>(b) Handling costs and profit in respect of sub-item PSC1.2.10(a) above</t>
  </si>
  <si>
    <t>The Projected CPG amount is within the minimum target.</t>
  </si>
  <si>
    <t>C1.3 CPG</t>
  </si>
  <si>
    <t>C1.2 CPG</t>
  </si>
  <si>
    <t>24 x 1000</t>
  </si>
  <si>
    <t>25 Sub contractors</t>
  </si>
  <si>
    <t>24x2500</t>
  </si>
  <si>
    <t xml:space="preserve"> </t>
  </si>
  <si>
    <t>C1.2.2.1</t>
  </si>
  <si>
    <t>Submission of a Scheme 1 Programme</t>
  </si>
  <si>
    <t>C1.2.2.2</t>
  </si>
  <si>
    <t xml:space="preserve">Reviewing and updating a Scheme 1 Programme </t>
  </si>
  <si>
    <t>G</t>
  </si>
  <si>
    <t>CONTRACT SKILLS DEVELOPMENT GOAL (CSDG)</t>
  </si>
  <si>
    <t>SCHEDULE G: CONTRACT SKILLS DEVELOPMENT GOAL (CSDG)</t>
  </si>
  <si>
    <t>(i) Provision for stipends</t>
  </si>
  <si>
    <t xml:space="preserve">(ii) Provision for additional Costs      </t>
  </si>
  <si>
    <t>(c) Employment of Leaners employed under Method 3</t>
  </si>
  <si>
    <t>(b) Employment of Leaners employed under Method 2:</t>
  </si>
  <si>
    <t>(d) Employment of Leaners employed under Method 4</t>
  </si>
  <si>
    <t>(e) Liaison with the Employers project manager and the training service provider</t>
  </si>
  <si>
    <t>SCHEDULE F: CONTRACT PARTICIPATION GOALS</t>
  </si>
  <si>
    <t xml:space="preserve">Prefabricated kerbing-channelling </t>
  </si>
  <si>
    <t>Concrete kerbing-channelling combination:</t>
  </si>
  <si>
    <t>Extra over items C3.3.1 and C3.3.2 for concrete kerbing or concrete kerbing and channelling on curves</t>
  </si>
  <si>
    <t>Stockpiling topsoil</t>
  </si>
  <si>
    <t>Extra over sub-item C3.1.1.1 for excavation in stabilised existing road layers, irrespective of depth</t>
  </si>
  <si>
    <t>Geotextile (Nonwoven continuous filament needle punched geotextile grade A4)</t>
  </si>
  <si>
    <t>Zinc-coated smooth wire  - 4,0mm dia. mild steel straining wire, Grade C galvanised</t>
  </si>
  <si>
    <t/>
  </si>
  <si>
    <t>G7.01</t>
  </si>
  <si>
    <t xml:space="preserve">(a) Employment of Leaners employed under Method 1:   </t>
  </si>
  <si>
    <t>Number</t>
  </si>
  <si>
    <t>(ii) Provisions for mentorship</t>
  </si>
  <si>
    <t>(iii) Provisions for additional Costs</t>
  </si>
  <si>
    <r>
      <t xml:space="preserve">Total Brought Forward From Summary (Pg C52) – </t>
    </r>
    <r>
      <rPr>
        <b/>
        <sz val="10"/>
        <rFont val="Arial"/>
        <family val="2"/>
      </rPr>
      <t>0.25% of SUBTOTAL 1)</t>
    </r>
    <r>
      <rPr>
        <sz val="10"/>
        <rFont val="Arial"/>
        <family val="2"/>
      </rPr>
      <t xml:space="preserve">                         </t>
    </r>
  </si>
  <si>
    <t>Add: PART G: CONTRACT SKILLS DEVELOPMENT GOALS – CSDG (0.25% of SUBTOTAL 1)</t>
  </si>
  <si>
    <t>Subtotal 4</t>
  </si>
  <si>
    <t xml:space="preserve">Vehicles </t>
  </si>
  <si>
    <t>PSC1.2.11</t>
  </si>
  <si>
    <t>MAINTENANCE OF THE NEW ROAD INFRASTRUCUTRE DURING THE DEFECTS LIABILITY PERIOD:</t>
  </si>
  <si>
    <t>PSC1.2.11.1</t>
  </si>
  <si>
    <t>(i) Grass cutting</t>
  </si>
  <si>
    <t>(ii) Handling costs and profit in respect of item PSC1.2.11.1(i)</t>
  </si>
  <si>
    <t>PSC1.2.11.2</t>
  </si>
  <si>
    <t>(i) Drain cleaning</t>
  </si>
  <si>
    <t>(ii) Handling costs and profit in respect of item PSC1.2.11.2(i)</t>
  </si>
  <si>
    <t>PSC1.2.11.3</t>
  </si>
  <si>
    <t>(i) Cleaning out culverts</t>
  </si>
  <si>
    <t>(ii) Handling costs and profit in respect of item PSC1.2.11.3(i)</t>
  </si>
  <si>
    <t>PSC1.2.11.4</t>
  </si>
  <si>
    <t>(i) Repair of Guardrails</t>
  </si>
  <si>
    <t>(ii) Handling costs and profit in respect of item PSC1.2.11.4(i)</t>
  </si>
  <si>
    <t>PSC1.2.11.5</t>
  </si>
  <si>
    <t>(i) Replacement of Road Studs</t>
  </si>
  <si>
    <t>(ii) Handling costs and profit in respect of item PSC1.2.11.5(i)</t>
  </si>
  <si>
    <t>PSC1.2.11.6</t>
  </si>
  <si>
    <t>(i) Road Marking</t>
  </si>
  <si>
    <t>(ii) Handling costs and profit in respect of item PSC1.2.11.6(i)</t>
  </si>
  <si>
    <t>PSC1.2.11.7</t>
  </si>
  <si>
    <t>(i) Repair of Road Signs</t>
  </si>
  <si>
    <t>(ii) Handling costs and profit in respect of item PSC1.2.11.7(i)</t>
  </si>
  <si>
    <t>P.S.C1.2.4</t>
  </si>
  <si>
    <t>Stakeholder Liaison</t>
  </si>
  <si>
    <t>SCHEDULE E: EXPANDED PUBLIC WORKS PROGRAMME</t>
  </si>
  <si>
    <t>(i) Needs Analysis and Enterprise Development Plan per Targeted Enterprise</t>
  </si>
  <si>
    <t>(ii) Monitoring and Interim reporting per Targeted Enterprise</t>
  </si>
  <si>
    <t>Per Quarter</t>
  </si>
  <si>
    <t>(iii) Project Completion report per Targeted Enterprise</t>
  </si>
  <si>
    <t>(iv) Enterprise Development Co-Ordinator</t>
  </si>
  <si>
    <t>No./Month</t>
  </si>
  <si>
    <t>Hour</t>
  </si>
  <si>
    <t>ZNB02215/00000/00/HOD/INF/23/T</t>
  </si>
  <si>
    <t>C1.3.1.2</t>
  </si>
  <si>
    <t xml:space="preserve">Value-related obligations </t>
  </si>
  <si>
    <t>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</si>
</sst>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R&quot;#,##0;\-&quot;R&quot;#,##0"/>
    <numFmt numFmtId="7" formatCode="&quot;R&quot;#,##0.00;\-&quot;R&quot;#,##0.00"/>
    <numFmt numFmtId="44" formatCode="_-&quot;R&quot;* #,##0.00_-;\-&quot;R&quot;* #,##0.00_-;_-&quot;R&quot;* &quot;-&quot;??_-;_-@_-"/>
    <numFmt numFmtId="43" formatCode="_-* #,##0.00_-;\-* #,##0.00_-;_-* &quot;-&quot;??_-;_-@_-"/>
    <numFmt numFmtId="164" formatCode="_ &quot;R&quot;\ * #,##0.00_ ;_ &quot;R&quot;\ * \-#,##0.00_ ;_ &quot;R&quot;\ * &quot;-&quot;??_ ;_ @_ "/>
    <numFmt numFmtId="165" formatCode="_ * #,##0.00_ ;_ * \-#,##0.00_ ;_ * &quot;-&quot;??_ ;_ @_ "/>
    <numFmt numFmtId="166" formatCode="_(&quot;$&quot;* #,##0.00_);_(&quot;$&quot;* \(#,##0.00\);_(&quot;$&quot;* &quot;-&quot;??_);_(@_)"/>
    <numFmt numFmtId="167" formatCode="_(* #,##0.00_);_(* \(#,##0.00\);_(* &quot;-&quot;??_);_(@_)"/>
    <numFmt numFmtId="168" formatCode="&quot;R&quot;\ #,##0.00"/>
    <numFmt numFmtId="169" formatCode="0.0%"/>
    <numFmt numFmtId="170" formatCode="[$R-1C09]\ #\ ###\ ##0.00;[Red][$R-1C09]\-#\ ###\ ##0.00"/>
    <numFmt numFmtId="171" formatCode="_-* #.##0.00_-;\-* #.##0.00_-;_-* &quot;-&quot;??_-;_-@_-"/>
    <numFmt numFmtId="172" formatCode="&quot;R&quot;#,##0.00"/>
    <numFmt numFmtId="173" formatCode="&quot;C&quot;00"/>
    <numFmt numFmtId="174" formatCode="#,##0.0"/>
    <numFmt numFmtId="175" formatCode="0.0"/>
    <numFmt numFmtId="176" formatCode="0.00%;\-0.00%;&quot;- &quot;;@"/>
    <numFmt numFmtId="177" formatCode="#,##0.00;\-#,##0.00;&quot;- &quot;;@"/>
    <numFmt numFmtId="178" formatCode="#,##0_ ;[Red]\-#,##0\ "/>
    <numFmt numFmtId="179" formatCode="#,##0.00_ ;[Red]\-#,##0.00\ "/>
    <numFmt numFmtId="180" formatCode="&quot;C&quot;0"/>
    <numFmt numFmtId="181" formatCode="#,##0.00_ ;\-#,##0.00\ "/>
    <numFmt numFmtId="182" formatCode="_-&quot;R&quot;* #,##0.0000000_-;\-&quot;R&quot;* #,##0.0000000_-;_-&quot;R&quot;* &quot;-&quot;???????_-;_-@_-"/>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u/>
      <sz val="10"/>
      <name val="Times New Roman"/>
      <family val="1"/>
    </font>
    <font>
      <sz val="10"/>
      <name val="Arial"/>
      <family val="2"/>
    </font>
    <font>
      <i/>
      <u/>
      <sz val="10"/>
      <name val="Times New Roman"/>
      <family val="1"/>
    </font>
    <font>
      <sz val="12"/>
      <name val="Arial"/>
      <family val="2"/>
    </font>
    <font>
      <sz val="10"/>
      <name val="Times New Roman"/>
      <family val="1"/>
    </font>
    <font>
      <sz val="11"/>
      <name val="Arial"/>
      <family val="2"/>
    </font>
    <font>
      <sz val="8"/>
      <name val="Arial"/>
      <family val="2"/>
    </font>
    <font>
      <vertAlign val="superscript"/>
      <sz val="10"/>
      <name val="Arial"/>
      <family val="2"/>
    </font>
    <font>
      <sz val="10"/>
      <name val="Calibri"/>
      <family val="2"/>
    </font>
    <font>
      <sz val="9"/>
      <name val="Arial"/>
      <family val="2"/>
    </font>
    <font>
      <b/>
      <sz val="9"/>
      <name val="Arial"/>
      <family val="2"/>
    </font>
    <font>
      <sz val="9"/>
      <name val="Calibri"/>
      <family val="2"/>
    </font>
    <font>
      <i/>
      <sz val="9"/>
      <name val="Arial"/>
      <family val="2"/>
    </font>
    <font>
      <b/>
      <sz val="10"/>
      <color rgb="FF000000"/>
      <name val="Arial"/>
      <family val="2"/>
    </font>
    <font>
      <b/>
      <sz val="8"/>
      <color rgb="FF000000"/>
      <name val="Arial"/>
      <family val="2"/>
    </font>
    <font>
      <vertAlign val="superscript"/>
      <sz val="9"/>
      <name val="Arial"/>
      <family val="2"/>
    </font>
    <font>
      <sz val="10"/>
      <color theme="0"/>
      <name val="Arial"/>
      <family val="2"/>
    </font>
    <font>
      <sz val="9"/>
      <color theme="1"/>
      <name val="Arial"/>
      <family val="2"/>
    </font>
    <font>
      <b/>
      <sz val="10"/>
      <color rgb="FFFF0000"/>
      <name val="Arial"/>
      <family val="2"/>
    </font>
    <font>
      <sz val="8"/>
      <color rgb="FF000000"/>
      <name val="Segoe UI"/>
      <family val="2"/>
    </font>
  </fonts>
  <fills count="8">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bgColor indexed="64"/>
      </patternFill>
    </fill>
  </fills>
  <borders count="75">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ck">
        <color auto="1"/>
      </left>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diagonal/>
    </border>
    <border>
      <left/>
      <right style="thin">
        <color auto="1"/>
      </right>
      <top/>
      <bottom style="thin">
        <color auto="1"/>
      </bottom>
      <diagonal/>
    </border>
    <border>
      <left/>
      <right style="thin">
        <color indexed="64"/>
      </right>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auto="1"/>
      </bottom>
      <diagonal/>
    </border>
    <border>
      <left style="medium">
        <color auto="1"/>
      </left>
      <right/>
      <top/>
      <bottom/>
      <diagonal/>
    </border>
    <border>
      <left/>
      <right style="medium">
        <color indexed="64"/>
      </right>
      <top/>
      <bottom/>
      <diagonal/>
    </border>
    <border>
      <left style="thin">
        <color auto="1"/>
      </left>
      <right/>
      <top style="medium">
        <color indexed="64"/>
      </top>
      <bottom style="medium">
        <color indexed="64"/>
      </bottom>
      <diagonal/>
    </border>
    <border>
      <left style="medium">
        <color auto="1"/>
      </left>
      <right/>
      <top/>
      <bottom style="thin">
        <color auto="1"/>
      </bottom>
      <diagonal/>
    </border>
    <border>
      <left style="medium">
        <color indexed="64"/>
      </left>
      <right/>
      <top style="medium">
        <color indexed="64"/>
      </top>
      <bottom style="thin">
        <color auto="1"/>
      </bottom>
      <diagonal/>
    </border>
    <border>
      <left style="medium">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diagonal/>
    </border>
    <border>
      <left style="medium">
        <color auto="1"/>
      </left>
      <right style="medium">
        <color indexed="64"/>
      </right>
      <top/>
      <bottom style="thin">
        <color auto="1"/>
      </bottom>
      <diagonal/>
    </border>
    <border>
      <left style="medium">
        <color auto="1"/>
      </left>
      <right/>
      <top style="thin">
        <color auto="1"/>
      </top>
      <bottom/>
      <diagonal/>
    </border>
    <border>
      <left style="medium">
        <color auto="1"/>
      </left>
      <right style="medium">
        <color indexed="64"/>
      </right>
      <top/>
      <bottom/>
      <diagonal/>
    </border>
    <border>
      <left style="medium">
        <color indexed="64"/>
      </left>
      <right/>
      <top style="thin">
        <color auto="1"/>
      </top>
      <bottom style="medium">
        <color indexed="64"/>
      </bottom>
      <diagonal/>
    </border>
    <border>
      <left style="medium">
        <color auto="1"/>
      </left>
      <right style="medium">
        <color indexed="64"/>
      </right>
      <top style="thin">
        <color auto="1"/>
      </top>
      <bottom style="medium">
        <color indexed="64"/>
      </bottom>
      <diagonal/>
    </border>
    <border>
      <left style="thin">
        <color auto="1"/>
      </left>
      <right style="medium">
        <color auto="1"/>
      </right>
      <top style="thin">
        <color auto="1"/>
      </top>
      <bottom/>
      <diagonal/>
    </border>
    <border>
      <left/>
      <right style="thin">
        <color auto="1"/>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style="thin">
        <color auto="1"/>
      </left>
      <right style="medium">
        <color auto="1"/>
      </right>
      <top/>
      <bottom/>
      <diagonal/>
    </border>
    <border>
      <left/>
      <right/>
      <top style="medium">
        <color indexed="64"/>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indexed="64"/>
      </right>
      <top style="thin">
        <color rgb="FFC0C0C0"/>
      </top>
      <bottom style="thin">
        <color rgb="FFC0C0C0"/>
      </bottom>
      <diagonal/>
    </border>
    <border>
      <left style="thin">
        <color auto="1"/>
      </left>
      <right/>
      <top/>
      <bottom style="thin">
        <color rgb="FFC0C0C0"/>
      </bottom>
      <diagonal/>
    </border>
    <border>
      <left/>
      <right style="thin">
        <color indexed="64"/>
      </right>
      <top/>
      <bottom style="thin">
        <color rgb="FFC0C0C0"/>
      </bottom>
      <diagonal/>
    </border>
    <border>
      <left style="thin">
        <color auto="1"/>
      </left>
      <right style="thin">
        <color indexed="64"/>
      </right>
      <top/>
      <bottom style="thin">
        <color rgb="FFC0C0C0"/>
      </bottom>
      <diagonal/>
    </border>
    <border>
      <left/>
      <right/>
      <top/>
      <bottom style="thin">
        <color rgb="FFC0C0C0"/>
      </bottom>
      <diagonal/>
    </border>
    <border>
      <left style="thin">
        <color auto="1"/>
      </left>
      <right/>
      <top style="thin">
        <color rgb="FFC0C0C0"/>
      </top>
      <bottom style="thin">
        <color rgb="FFC0C0C0"/>
      </bottom>
      <diagonal/>
    </border>
    <border>
      <left/>
      <right style="thin">
        <color indexed="64"/>
      </right>
      <top style="thin">
        <color rgb="FFC0C0C0"/>
      </top>
      <bottom style="thin">
        <color rgb="FFC0C0C0"/>
      </bottom>
      <diagonal/>
    </border>
    <border>
      <left/>
      <right/>
      <top style="thin">
        <color rgb="FFC0C0C0"/>
      </top>
      <bottom style="thin">
        <color rgb="FFC0C0C0"/>
      </bottom>
      <diagonal/>
    </border>
    <border>
      <left style="thin">
        <color auto="1"/>
      </left>
      <right/>
      <top style="thin">
        <color rgb="FFC0C0C0"/>
      </top>
      <bottom/>
      <diagonal/>
    </border>
    <border>
      <left/>
      <right style="thin">
        <color indexed="64"/>
      </right>
      <top style="thin">
        <color rgb="FFC0C0C0"/>
      </top>
      <bottom/>
      <diagonal/>
    </border>
    <border>
      <left style="thin">
        <color auto="1"/>
      </left>
      <right style="thin">
        <color indexed="64"/>
      </right>
      <top style="thin">
        <color rgb="FFC0C0C0"/>
      </top>
      <bottom/>
      <diagonal/>
    </border>
    <border>
      <left/>
      <right/>
      <top style="thin">
        <color rgb="FFC0C0C0"/>
      </top>
      <bottom/>
      <diagonal/>
    </border>
    <border>
      <left style="thin">
        <color auto="1"/>
      </left>
      <right/>
      <top style="thin">
        <color rgb="FFC0C0C0"/>
      </top>
      <bottom style="thin">
        <color indexed="64"/>
      </bottom>
      <diagonal/>
    </border>
    <border>
      <left/>
      <right/>
      <top style="thin">
        <color rgb="FFC0C0C0"/>
      </top>
      <bottom style="thin">
        <color auto="1"/>
      </bottom>
      <diagonal/>
    </border>
    <border>
      <left/>
      <right style="thin">
        <color indexed="64"/>
      </right>
      <top style="thin">
        <color rgb="FFC0C0C0"/>
      </top>
      <bottom style="thin">
        <color auto="1"/>
      </bottom>
      <diagonal/>
    </border>
    <border>
      <left/>
      <right style="thin">
        <color auto="1"/>
      </right>
      <top style="medium">
        <color indexed="64"/>
      </top>
      <bottom style="thin">
        <color auto="1"/>
      </bottom>
      <diagonal/>
    </border>
  </borders>
  <cellStyleXfs count="25">
    <xf numFmtId="0" fontId="0" fillId="0" borderId="0"/>
    <xf numFmtId="167" fontId="6" fillId="0" borderId="0" applyFont="0" applyFill="0" applyBorder="0" applyAlignment="0" applyProtection="0"/>
    <xf numFmtId="3" fontId="6" fillId="0" borderId="0" applyFont="0" applyFill="0" applyBorder="0" applyAlignment="0" applyProtection="0"/>
    <xf numFmtId="166" fontId="6" fillId="0" borderId="0" applyFont="0" applyFill="0" applyBorder="0" applyAlignment="0" applyProtection="0"/>
    <xf numFmtId="166" fontId="9" fillId="0" borderId="0" applyFont="0" applyFill="0" applyBorder="0" applyAlignment="0" applyProtection="0"/>
    <xf numFmtId="0" fontId="9" fillId="0" borderId="0"/>
    <xf numFmtId="0" fontId="8" fillId="0" borderId="0"/>
    <xf numFmtId="9" fontId="6" fillId="0" borderId="0" applyFont="0" applyFill="0" applyBorder="0" applyAlignment="0" applyProtection="0"/>
    <xf numFmtId="0" fontId="5" fillId="0" borderId="0"/>
    <xf numFmtId="0" fontId="10" fillId="0" borderId="9"/>
    <xf numFmtId="0" fontId="11" fillId="0" borderId="0"/>
    <xf numFmtId="170" fontId="6" fillId="0" borderId="10" applyFill="0" applyProtection="0"/>
    <xf numFmtId="0" fontId="6" fillId="0" borderId="0"/>
    <xf numFmtId="0" fontId="4" fillId="0" borderId="0"/>
    <xf numFmtId="43" fontId="4"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0" fontId="6" fillId="0" borderId="0"/>
    <xf numFmtId="4" fontId="11" fillId="0" borderId="0" applyProtection="0"/>
    <xf numFmtId="5" fontId="12" fillId="0" borderId="0" applyFont="0" applyFill="0" applyBorder="0" applyAlignment="0" applyProtection="0"/>
    <xf numFmtId="0" fontId="3" fillId="0" borderId="0"/>
    <xf numFmtId="171" fontId="3" fillId="0" borderId="0" applyFont="0" applyFill="0" applyBorder="0" applyAlignment="0" applyProtection="0"/>
    <xf numFmtId="0" fontId="13" fillId="0" borderId="0"/>
    <xf numFmtId="166" fontId="6" fillId="0" borderId="0" applyFont="0" applyFill="0" applyBorder="0" applyAlignment="0" applyProtection="0"/>
    <xf numFmtId="0" fontId="2" fillId="0" borderId="0"/>
  </cellStyleXfs>
  <cellXfs count="627">
    <xf numFmtId="0" fontId="0" fillId="0" borderId="0" xfId="0"/>
    <xf numFmtId="0" fontId="6" fillId="0" borderId="0" xfId="17" applyAlignment="1">
      <alignment vertical="center"/>
    </xf>
    <xf numFmtId="0" fontId="7" fillId="0" borderId="0" xfId="17" applyFont="1" applyAlignment="1">
      <alignment horizontal="left" vertical="center"/>
    </xf>
    <xf numFmtId="0" fontId="6" fillId="0" borderId="0" xfId="17" applyAlignment="1">
      <alignment horizontal="left" vertical="center"/>
    </xf>
    <xf numFmtId="0" fontId="6" fillId="0" borderId="0" xfId="17" applyAlignment="1">
      <alignment horizontal="center" vertical="center"/>
    </xf>
    <xf numFmtId="0" fontId="6" fillId="0" borderId="0" xfId="17" applyAlignment="1">
      <alignment horizontal="right" vertical="center"/>
    </xf>
    <xf numFmtId="0" fontId="7" fillId="0" borderId="0" xfId="17" applyFont="1" applyAlignment="1">
      <alignment horizontal="right" vertical="center"/>
    </xf>
    <xf numFmtId="0" fontId="7" fillId="0" borderId="0" xfId="17" applyFont="1" applyAlignment="1">
      <alignment horizontal="left" vertical="center" wrapText="1"/>
    </xf>
    <xf numFmtId="0" fontId="7" fillId="0" borderId="3" xfId="17" applyFont="1" applyBorder="1" applyAlignment="1">
      <alignment horizontal="left" vertical="center" wrapText="1"/>
    </xf>
    <xf numFmtId="49" fontId="7" fillId="0" borderId="0" xfId="17" applyNumberFormat="1" applyFont="1" applyAlignment="1">
      <alignment horizontal="left" vertical="center" wrapText="1"/>
    </xf>
    <xf numFmtId="0" fontId="7" fillId="0" borderId="0" xfId="17" applyFont="1" applyAlignment="1">
      <alignment horizontal="center" vertical="center"/>
    </xf>
    <xf numFmtId="49" fontId="7" fillId="0" borderId="11" xfId="17" applyNumberFormat="1" applyFont="1" applyBorder="1" applyAlignment="1">
      <alignment horizontal="center" vertical="center" wrapText="1"/>
    </xf>
    <xf numFmtId="0" fontId="7" fillId="0" borderId="11" xfId="17" applyFont="1" applyBorder="1" applyAlignment="1">
      <alignment horizontal="center" vertical="center" wrapText="1"/>
    </xf>
    <xf numFmtId="0" fontId="7" fillId="0" borderId="0" xfId="17" applyFont="1" applyAlignment="1">
      <alignment horizontal="center" vertical="center" wrapText="1"/>
    </xf>
    <xf numFmtId="49" fontId="6" fillId="0" borderId="1" xfId="17" applyNumberFormat="1" applyBorder="1" applyAlignment="1">
      <alignment horizontal="left" vertical="center" wrapText="1"/>
    </xf>
    <xf numFmtId="0" fontId="6" fillId="0" borderId="1" xfId="17" applyBorder="1" applyAlignment="1">
      <alignment horizontal="left" vertical="center" wrapText="1"/>
    </xf>
    <xf numFmtId="0" fontId="6" fillId="0" borderId="1" xfId="17" applyBorder="1" applyAlignment="1">
      <alignment horizontal="center" wrapText="1"/>
    </xf>
    <xf numFmtId="0" fontId="6" fillId="0" borderId="1" xfId="17" applyBorder="1" applyAlignment="1">
      <alignment wrapText="1"/>
    </xf>
    <xf numFmtId="168" fontId="6" fillId="0" borderId="1" xfId="3" applyNumberFormat="1" applyFont="1" applyBorder="1" applyAlignment="1">
      <alignment horizontal="right" wrapText="1"/>
    </xf>
    <xf numFmtId="168" fontId="6" fillId="0" borderId="0" xfId="3" applyNumberFormat="1" applyFont="1" applyBorder="1" applyAlignment="1">
      <alignment horizontal="right" wrapText="1"/>
    </xf>
    <xf numFmtId="49" fontId="7" fillId="0" borderId="1" xfId="17" applyNumberFormat="1" applyFont="1" applyBorder="1" applyAlignment="1">
      <alignment horizontal="left" vertical="center" wrapText="1"/>
    </xf>
    <xf numFmtId="0" fontId="7" fillId="0" borderId="1" xfId="17" applyFont="1" applyBorder="1" applyAlignment="1">
      <alignment horizontal="left" vertical="center" wrapText="1"/>
    </xf>
    <xf numFmtId="49" fontId="6" fillId="0" borderId="1" xfId="17" applyNumberFormat="1" applyBorder="1" applyAlignment="1">
      <alignment horizontal="center" vertical="center" wrapText="1"/>
    </xf>
    <xf numFmtId="0" fontId="6" fillId="0" borderId="1" xfId="17" applyBorder="1" applyAlignment="1">
      <alignment horizontal="center" vertical="center" wrapText="1"/>
    </xf>
    <xf numFmtId="3" fontId="6" fillId="0" borderId="1" xfId="1" applyNumberFormat="1" applyFont="1" applyBorder="1" applyAlignment="1">
      <alignment horizontal="center" vertical="center" wrapText="1"/>
    </xf>
    <xf numFmtId="167" fontId="6" fillId="0" borderId="1" xfId="1" applyFont="1" applyBorder="1" applyAlignment="1">
      <alignment horizontal="center" vertical="center" wrapText="1"/>
    </xf>
    <xf numFmtId="168" fontId="6" fillId="0" borderId="1" xfId="3" applyNumberFormat="1" applyFont="1" applyBorder="1" applyAlignment="1">
      <alignment horizontal="right" vertical="center" wrapText="1"/>
    </xf>
    <xf numFmtId="3" fontId="6" fillId="0" borderId="1" xfId="1" applyNumberFormat="1" applyFont="1" applyBorder="1" applyAlignment="1">
      <alignment horizontal="center" wrapText="1"/>
    </xf>
    <xf numFmtId="0" fontId="6" fillId="0" borderId="3" xfId="17" applyBorder="1" applyAlignment="1">
      <alignment horizontal="left" vertical="center"/>
    </xf>
    <xf numFmtId="0" fontId="6" fillId="0" borderId="3" xfId="17" applyBorder="1" applyAlignment="1">
      <alignment horizontal="left" vertical="center" wrapText="1"/>
    </xf>
    <xf numFmtId="169" fontId="6" fillId="0" borderId="1" xfId="17" applyNumberFormat="1" applyBorder="1" applyAlignment="1">
      <alignment wrapText="1"/>
    </xf>
    <xf numFmtId="0" fontId="7" fillId="0" borderId="0" xfId="17" applyFont="1" applyAlignment="1">
      <alignment vertical="center"/>
    </xf>
    <xf numFmtId="49" fontId="7" fillId="0" borderId="12" xfId="17" applyNumberFormat="1" applyFont="1" applyBorder="1" applyAlignment="1">
      <alignment vertical="center"/>
    </xf>
    <xf numFmtId="0" fontId="7" fillId="0" borderId="13" xfId="17" applyFont="1" applyBorder="1" applyAlignment="1">
      <alignment vertical="center"/>
    </xf>
    <xf numFmtId="49" fontId="7" fillId="0" borderId="13" xfId="17" applyNumberFormat="1" applyFont="1" applyBorder="1" applyAlignment="1">
      <alignment vertical="center"/>
    </xf>
    <xf numFmtId="49" fontId="7" fillId="0" borderId="13" xfId="17" applyNumberFormat="1" applyFont="1" applyBorder="1" applyAlignment="1">
      <alignment horizontal="center" vertical="center"/>
    </xf>
    <xf numFmtId="168" fontId="7" fillId="0" borderId="11" xfId="1" applyNumberFormat="1" applyFont="1" applyBorder="1" applyAlignment="1">
      <alignment horizontal="right" vertical="center" wrapText="1"/>
    </xf>
    <xf numFmtId="168" fontId="7" fillId="0" borderId="0" xfId="1" applyNumberFormat="1" applyFont="1" applyBorder="1" applyAlignment="1">
      <alignment horizontal="right" vertical="center" wrapText="1"/>
    </xf>
    <xf numFmtId="49" fontId="6" fillId="0" borderId="0" xfId="17" applyNumberFormat="1" applyAlignment="1">
      <alignment horizontal="left" vertical="center"/>
    </xf>
    <xf numFmtId="0" fontId="6" fillId="0" borderId="0" xfId="17"/>
    <xf numFmtId="0" fontId="6" fillId="0" borderId="1" xfId="17" applyBorder="1" applyAlignment="1">
      <alignment horizontal="center" vertical="center"/>
    </xf>
    <xf numFmtId="167" fontId="6" fillId="0" borderId="1" xfId="1" applyFont="1" applyBorder="1" applyAlignment="1">
      <alignment vertical="center" wrapText="1"/>
    </xf>
    <xf numFmtId="0" fontId="6" fillId="0" borderId="1" xfId="17" applyBorder="1" applyAlignment="1">
      <alignment horizontal="left" wrapText="1"/>
    </xf>
    <xf numFmtId="0" fontId="6" fillId="0" borderId="1" xfId="17" applyBorder="1" applyAlignment="1">
      <alignment vertical="center" wrapText="1"/>
    </xf>
    <xf numFmtId="168" fontId="6" fillId="0" borderId="0" xfId="3" applyNumberFormat="1" applyFont="1" applyBorder="1" applyAlignment="1">
      <alignment horizontal="right" vertical="center" wrapText="1"/>
    </xf>
    <xf numFmtId="168" fontId="6" fillId="0" borderId="0" xfId="1" applyNumberFormat="1" applyFont="1" applyBorder="1" applyAlignment="1">
      <alignment horizontal="right" vertical="center" wrapText="1"/>
    </xf>
    <xf numFmtId="169" fontId="6" fillId="0" borderId="1" xfId="7" applyNumberFormat="1" applyFont="1" applyBorder="1" applyAlignment="1">
      <alignment vertical="center" wrapText="1"/>
    </xf>
    <xf numFmtId="168" fontId="6" fillId="0" borderId="0" xfId="3" applyNumberFormat="1" applyFont="1" applyBorder="1" applyAlignment="1">
      <alignment vertical="center" wrapText="1"/>
    </xf>
    <xf numFmtId="0" fontId="6" fillId="0" borderId="1" xfId="17" applyBorder="1" applyAlignment="1">
      <alignment vertical="center"/>
    </xf>
    <xf numFmtId="49" fontId="7" fillId="0" borderId="1" xfId="17" applyNumberFormat="1" applyFont="1" applyBorder="1" applyAlignment="1">
      <alignment horizontal="center" vertical="center" wrapText="1"/>
    </xf>
    <xf numFmtId="169" fontId="6" fillId="0" borderId="1" xfId="17" applyNumberFormat="1" applyBorder="1" applyAlignment="1">
      <alignment vertical="center" wrapText="1"/>
    </xf>
    <xf numFmtId="167" fontId="6" fillId="0" borderId="1" xfId="1" applyFont="1" applyFill="1" applyBorder="1" applyAlignment="1">
      <alignment vertical="center" wrapText="1"/>
    </xf>
    <xf numFmtId="167" fontId="6" fillId="0" borderId="0" xfId="17" applyNumberFormat="1" applyAlignment="1">
      <alignment horizontal="right" vertical="center"/>
    </xf>
    <xf numFmtId="49" fontId="6" fillId="0" borderId="1" xfId="17" applyNumberFormat="1" applyBorder="1" applyAlignment="1">
      <alignment horizontal="right" vertical="center" wrapText="1"/>
    </xf>
    <xf numFmtId="0" fontId="7" fillId="0" borderId="1" xfId="17" applyFont="1" applyBorder="1" applyAlignment="1">
      <alignment horizontal="center" vertical="center" wrapText="1"/>
    </xf>
    <xf numFmtId="0" fontId="6" fillId="0" borderId="1" xfId="17" applyBorder="1" applyAlignment="1">
      <alignment horizontal="left" vertical="center"/>
    </xf>
    <xf numFmtId="0" fontId="6" fillId="0" borderId="0" xfId="17" applyAlignment="1">
      <alignment vertical="center" wrapText="1"/>
    </xf>
    <xf numFmtId="0" fontId="6" fillId="0" borderId="0" xfId="17" applyAlignment="1">
      <alignment horizontal="left" vertical="center" wrapText="1"/>
    </xf>
    <xf numFmtId="49" fontId="6" fillId="0" borderId="0" xfId="17" applyNumberFormat="1" applyAlignment="1">
      <alignment horizontal="left" vertical="center" wrapText="1"/>
    </xf>
    <xf numFmtId="0" fontId="6" fillId="0" borderId="0" xfId="17" applyAlignment="1">
      <alignment horizontal="center" vertical="center" wrapText="1"/>
    </xf>
    <xf numFmtId="0" fontId="6" fillId="0" borderId="0" xfId="17" applyAlignment="1">
      <alignment horizontal="right" vertical="center" wrapText="1"/>
    </xf>
    <xf numFmtId="0" fontId="7" fillId="0" borderId="0" xfId="17" applyFont="1" applyAlignment="1">
      <alignment horizontal="right" vertical="center" wrapText="1"/>
    </xf>
    <xf numFmtId="0" fontId="6" fillId="0" borderId="0" xfId="17" applyAlignment="1">
      <alignment wrapText="1"/>
    </xf>
    <xf numFmtId="0" fontId="7" fillId="0" borderId="0" xfId="17" applyFont="1" applyAlignment="1">
      <alignment vertical="center" wrapText="1"/>
    </xf>
    <xf numFmtId="49" fontId="6" fillId="0" borderId="1" xfId="17" applyNumberFormat="1" applyBorder="1" applyAlignment="1">
      <alignment horizontal="left" vertical="top" wrapText="1"/>
    </xf>
    <xf numFmtId="168" fontId="6" fillId="0" borderId="0" xfId="1" applyNumberFormat="1" applyFont="1" applyBorder="1" applyAlignment="1">
      <alignment horizontal="right" wrapText="1"/>
    </xf>
    <xf numFmtId="49" fontId="6" fillId="0" borderId="1" xfId="17" applyNumberFormat="1" applyBorder="1" applyAlignment="1">
      <alignment horizontal="right" vertical="top" wrapText="1"/>
    </xf>
    <xf numFmtId="169" fontId="6" fillId="0" borderId="1" xfId="7" applyNumberFormat="1" applyFont="1" applyBorder="1" applyAlignment="1">
      <alignment wrapText="1"/>
    </xf>
    <xf numFmtId="168" fontId="6" fillId="0" borderId="0" xfId="3" applyNumberFormat="1" applyFont="1" applyBorder="1" applyAlignment="1">
      <alignment wrapText="1"/>
    </xf>
    <xf numFmtId="0" fontId="6" fillId="0" borderId="1" xfId="17" applyBorder="1" applyAlignment="1">
      <alignment horizontal="center"/>
    </xf>
    <xf numFmtId="0" fontId="6" fillId="0" borderId="1" xfId="17" applyBorder="1"/>
    <xf numFmtId="0" fontId="6" fillId="0" borderId="0" xfId="17" applyAlignment="1">
      <alignment horizontal="right"/>
    </xf>
    <xf numFmtId="167" fontId="6" fillId="0" borderId="1" xfId="1" applyFont="1" applyBorder="1" applyAlignment="1">
      <alignment wrapText="1"/>
    </xf>
    <xf numFmtId="0" fontId="6" fillId="0" borderId="1" xfId="17" applyBorder="1" applyAlignment="1">
      <alignment horizontal="left" vertical="top" wrapText="1"/>
    </xf>
    <xf numFmtId="0" fontId="6" fillId="0" borderId="1" xfId="17" applyBorder="1" applyAlignment="1">
      <alignment horizontal="center" vertical="top" wrapText="1"/>
    </xf>
    <xf numFmtId="167" fontId="6" fillId="0" borderId="1" xfId="1" applyFont="1" applyFill="1" applyBorder="1" applyAlignment="1">
      <alignment wrapText="1"/>
    </xf>
    <xf numFmtId="0" fontId="6" fillId="0" borderId="3" xfId="17" applyBorder="1" applyAlignment="1">
      <alignment horizontal="left" vertical="top"/>
    </xf>
    <xf numFmtId="167" fontId="6" fillId="0" borderId="0" xfId="17" applyNumberFormat="1" applyAlignment="1">
      <alignment horizontal="right"/>
    </xf>
    <xf numFmtId="0" fontId="6" fillId="0" borderId="3" xfId="17" applyBorder="1" applyAlignment="1">
      <alignment horizontal="left" vertical="top" wrapText="1"/>
    </xf>
    <xf numFmtId="0" fontId="6" fillId="0" borderId="1" xfId="17" applyBorder="1" applyAlignment="1">
      <alignment horizontal="center" vertical="top"/>
    </xf>
    <xf numFmtId="49" fontId="7" fillId="0" borderId="1" xfId="17" applyNumberFormat="1" applyFont="1" applyBorder="1" applyAlignment="1">
      <alignment horizontal="right" vertical="center" wrapText="1"/>
    </xf>
    <xf numFmtId="49" fontId="7" fillId="0" borderId="11" xfId="17" applyNumberFormat="1" applyFont="1" applyBorder="1" applyAlignment="1">
      <alignment vertical="center" wrapText="1"/>
    </xf>
    <xf numFmtId="49" fontId="6" fillId="0" borderId="1" xfId="17" applyNumberFormat="1" applyBorder="1" applyAlignment="1">
      <alignment vertical="center" wrapText="1"/>
    </xf>
    <xf numFmtId="49" fontId="6" fillId="0" borderId="0" xfId="17" applyNumberFormat="1" applyAlignment="1">
      <alignment vertical="center"/>
    </xf>
    <xf numFmtId="0" fontId="6" fillId="0" borderId="4" xfId="17" applyBorder="1" applyAlignment="1">
      <alignment horizontal="left" vertical="center"/>
    </xf>
    <xf numFmtId="0" fontId="6" fillId="0" borderId="4" xfId="17" applyBorder="1" applyAlignment="1">
      <alignment horizontal="center" vertical="center"/>
    </xf>
    <xf numFmtId="0" fontId="6" fillId="0" borderId="4" xfId="17" applyBorder="1" applyAlignment="1">
      <alignment vertical="center"/>
    </xf>
    <xf numFmtId="49" fontId="7" fillId="0" borderId="11" xfId="17" applyNumberFormat="1" applyFont="1" applyBorder="1" applyAlignment="1">
      <alignment vertical="center"/>
    </xf>
    <xf numFmtId="0" fontId="6" fillId="0" borderId="15" xfId="17" applyBorder="1" applyAlignment="1">
      <alignment horizontal="center" wrapText="1"/>
    </xf>
    <xf numFmtId="0" fontId="6" fillId="0" borderId="1" xfId="17" applyBorder="1" applyAlignment="1">
      <alignment horizontal="right" vertical="center" wrapText="1"/>
    </xf>
    <xf numFmtId="49" fontId="7" fillId="0" borderId="12" xfId="17" applyNumberFormat="1" applyFont="1" applyBorder="1" applyAlignment="1">
      <alignment horizontal="right" vertical="center"/>
    </xf>
    <xf numFmtId="49" fontId="6" fillId="0" borderId="1" xfId="17" applyNumberFormat="1" applyBorder="1" applyAlignment="1">
      <alignment horizontal="right" wrapText="1"/>
    </xf>
    <xf numFmtId="0" fontId="7" fillId="0" borderId="15" xfId="17" applyFont="1" applyBorder="1" applyAlignment="1">
      <alignment horizontal="center" vertical="center" wrapText="1"/>
    </xf>
    <xf numFmtId="49" fontId="7" fillId="0" borderId="15" xfId="17" applyNumberFormat="1" applyFont="1" applyBorder="1" applyAlignment="1">
      <alignment horizontal="left" vertical="center" wrapText="1"/>
    </xf>
    <xf numFmtId="49" fontId="7" fillId="0" borderId="15" xfId="17" applyNumberFormat="1" applyFont="1" applyBorder="1" applyAlignment="1">
      <alignment horizontal="center" vertical="center" wrapText="1"/>
    </xf>
    <xf numFmtId="49" fontId="6" fillId="0" borderId="1" xfId="17" applyNumberFormat="1" applyBorder="1" applyAlignment="1">
      <alignment horizontal="center" vertical="center"/>
    </xf>
    <xf numFmtId="0" fontId="7" fillId="0" borderId="0" xfId="17" applyFont="1" applyAlignment="1">
      <alignment horizontal="left" vertical="top"/>
    </xf>
    <xf numFmtId="0" fontId="7" fillId="0" borderId="0" xfId="17" applyFont="1" applyAlignment="1">
      <alignment vertical="top"/>
    </xf>
    <xf numFmtId="0" fontId="6" fillId="0" borderId="4" xfId="17" applyBorder="1" applyAlignment="1">
      <alignment horizontal="right" vertical="center"/>
    </xf>
    <xf numFmtId="0" fontId="6" fillId="0" borderId="4" xfId="17" applyBorder="1" applyAlignment="1">
      <alignment horizontal="left" vertical="center" wrapText="1"/>
    </xf>
    <xf numFmtId="0" fontId="6" fillId="0" borderId="4" xfId="17" applyBorder="1" applyAlignment="1">
      <alignment horizontal="center" vertical="center" wrapText="1"/>
    </xf>
    <xf numFmtId="0" fontId="6" fillId="0" borderId="4" xfId="17" applyBorder="1" applyAlignment="1">
      <alignment vertical="center" wrapText="1"/>
    </xf>
    <xf numFmtId="0" fontId="6" fillId="0" borderId="4" xfId="17" applyBorder="1" applyAlignment="1">
      <alignment horizontal="right" vertical="center" wrapText="1"/>
    </xf>
    <xf numFmtId="0" fontId="6" fillId="0" borderId="0" xfId="0" applyFont="1"/>
    <xf numFmtId="0" fontId="7" fillId="0" borderId="15" xfId="17" applyFont="1" applyBorder="1" applyAlignment="1">
      <alignment horizontal="left" vertical="center" wrapText="1"/>
    </xf>
    <xf numFmtId="0" fontId="6" fillId="0" borderId="15" xfId="17" applyBorder="1" applyAlignment="1">
      <alignment horizontal="center" vertical="center" wrapText="1"/>
    </xf>
    <xf numFmtId="0" fontId="17" fillId="0" borderId="0" xfId="17" applyFont="1" applyAlignment="1">
      <alignment vertical="center"/>
    </xf>
    <xf numFmtId="0" fontId="17" fillId="0" borderId="0" xfId="17" applyFont="1" applyAlignment="1">
      <alignment horizontal="right" vertical="center"/>
    </xf>
    <xf numFmtId="0" fontId="17" fillId="0" borderId="0" xfId="17" applyFont="1" applyAlignment="1">
      <alignment horizontal="center" vertical="center"/>
    </xf>
    <xf numFmtId="0" fontId="17" fillId="0" borderId="0" xfId="17" applyFont="1" applyAlignment="1">
      <alignment horizontal="left" vertical="center"/>
    </xf>
    <xf numFmtId="49" fontId="17" fillId="0" borderId="0" xfId="17" applyNumberFormat="1" applyFont="1" applyAlignment="1">
      <alignment horizontal="left" vertical="center"/>
    </xf>
    <xf numFmtId="168" fontId="17" fillId="0" borderId="1" xfId="3" applyNumberFormat="1" applyFont="1" applyBorder="1" applyAlignment="1">
      <alignment horizontal="right" vertical="center" wrapText="1"/>
    </xf>
    <xf numFmtId="3" fontId="17" fillId="0" borderId="1" xfId="1" applyNumberFormat="1" applyFont="1" applyBorder="1" applyAlignment="1">
      <alignment horizontal="center" wrapText="1"/>
    </xf>
    <xf numFmtId="0" fontId="17" fillId="0" borderId="1" xfId="17" applyFont="1" applyBorder="1" applyAlignment="1">
      <alignment horizontal="center"/>
    </xf>
    <xf numFmtId="0" fontId="17" fillId="0" borderId="1" xfId="17" applyFont="1" applyBorder="1" applyAlignment="1">
      <alignment horizontal="center" wrapText="1"/>
    </xf>
    <xf numFmtId="0" fontId="17" fillId="0" borderId="1" xfId="17" applyFont="1" applyBorder="1" applyAlignment="1">
      <alignment horizontal="left" vertical="center" wrapText="1"/>
    </xf>
    <xf numFmtId="169" fontId="17" fillId="0" borderId="1" xfId="7" applyNumberFormat="1" applyFont="1" applyBorder="1" applyAlignment="1">
      <alignment wrapText="1"/>
    </xf>
    <xf numFmtId="0" fontId="17" fillId="0" borderId="1" xfId="17" applyFont="1" applyBorder="1" applyAlignment="1">
      <alignment horizontal="center" vertical="center" wrapText="1"/>
    </xf>
    <xf numFmtId="49" fontId="17" fillId="0" borderId="1" xfId="17" applyNumberFormat="1" applyFont="1" applyBorder="1" applyAlignment="1">
      <alignment horizontal="right" vertical="center" wrapText="1"/>
    </xf>
    <xf numFmtId="167" fontId="17" fillId="0" borderId="1" xfId="1" applyFont="1" applyBorder="1" applyAlignment="1">
      <alignment wrapText="1"/>
    </xf>
    <xf numFmtId="0" fontId="17" fillId="0" borderId="3" xfId="17" applyFont="1" applyBorder="1" applyAlignment="1">
      <alignment horizontal="left" vertical="center" wrapText="1"/>
    </xf>
    <xf numFmtId="0" fontId="17" fillId="0" borderId="1" xfId="17" applyFont="1" applyBorder="1" applyAlignment="1">
      <alignment wrapText="1"/>
    </xf>
    <xf numFmtId="0" fontId="18" fillId="0" borderId="1" xfId="17" applyFont="1" applyBorder="1" applyAlignment="1">
      <alignment horizontal="left" vertical="center" wrapText="1"/>
    </xf>
    <xf numFmtId="49" fontId="18" fillId="0" borderId="1" xfId="17" applyNumberFormat="1" applyFont="1" applyBorder="1" applyAlignment="1">
      <alignment horizontal="right" vertical="center" wrapText="1"/>
    </xf>
    <xf numFmtId="167" fontId="17" fillId="0" borderId="1" xfId="1" applyFont="1" applyBorder="1" applyAlignment="1">
      <alignment horizontal="center" vertical="center" wrapText="1"/>
    </xf>
    <xf numFmtId="3" fontId="17" fillId="0" borderId="1" xfId="1" applyNumberFormat="1" applyFont="1" applyBorder="1" applyAlignment="1">
      <alignment horizontal="center" vertical="center" wrapText="1"/>
    </xf>
    <xf numFmtId="168" fontId="17" fillId="0" borderId="1" xfId="3" applyNumberFormat="1" applyFont="1" applyBorder="1" applyAlignment="1">
      <alignment horizontal="right" wrapText="1"/>
    </xf>
    <xf numFmtId="0" fontId="17" fillId="0" borderId="3" xfId="17" applyFont="1" applyBorder="1" applyAlignment="1">
      <alignment horizontal="left" vertical="center"/>
    </xf>
    <xf numFmtId="169" fontId="17" fillId="0" borderId="1" xfId="17" applyNumberFormat="1" applyFont="1" applyBorder="1" applyAlignment="1">
      <alignment wrapText="1"/>
    </xf>
    <xf numFmtId="49" fontId="17" fillId="0" borderId="1" xfId="17" applyNumberFormat="1" applyFont="1" applyBorder="1" applyAlignment="1">
      <alignment horizontal="right" wrapText="1"/>
    </xf>
    <xf numFmtId="49" fontId="17" fillId="0" borderId="1" xfId="17" applyNumberFormat="1" applyFont="1" applyBorder="1" applyAlignment="1">
      <alignment horizontal="right" vertical="top" wrapText="1"/>
    </xf>
    <xf numFmtId="168" fontId="17" fillId="0" borderId="0" xfId="3" applyNumberFormat="1" applyFont="1" applyBorder="1" applyAlignment="1">
      <alignment horizontal="right" wrapText="1"/>
    </xf>
    <xf numFmtId="0" fontId="17" fillId="0" borderId="0" xfId="17" applyFont="1" applyAlignment="1">
      <alignment horizontal="right"/>
    </xf>
    <xf numFmtId="167" fontId="17" fillId="0" borderId="0" xfId="17" applyNumberFormat="1" applyFont="1" applyAlignment="1">
      <alignment horizontal="right"/>
    </xf>
    <xf numFmtId="168" fontId="17" fillId="0" borderId="0" xfId="1" applyNumberFormat="1" applyFont="1" applyBorder="1" applyAlignment="1">
      <alignment horizontal="right" wrapText="1"/>
    </xf>
    <xf numFmtId="168" fontId="17" fillId="0" borderId="0" xfId="3" applyNumberFormat="1" applyFont="1" applyBorder="1" applyAlignment="1">
      <alignment wrapText="1"/>
    </xf>
    <xf numFmtId="0" fontId="18" fillId="0" borderId="0" xfId="17" applyFont="1" applyAlignment="1">
      <alignment horizontal="center" vertical="center"/>
    </xf>
    <xf numFmtId="0" fontId="18" fillId="0" borderId="0" xfId="17" applyFont="1" applyAlignment="1">
      <alignment horizontal="center" vertical="center" wrapText="1"/>
    </xf>
    <xf numFmtId="49" fontId="18" fillId="0" borderId="0" xfId="17" applyNumberFormat="1" applyFont="1" applyAlignment="1">
      <alignment horizontal="left" vertical="center" wrapText="1"/>
    </xf>
    <xf numFmtId="0" fontId="18" fillId="0" borderId="0" xfId="17" applyFont="1" applyAlignment="1">
      <alignment horizontal="left" vertical="top"/>
    </xf>
    <xf numFmtId="0" fontId="18" fillId="0" borderId="0" xfId="17" applyFont="1" applyAlignment="1">
      <alignment horizontal="left" vertical="center"/>
    </xf>
    <xf numFmtId="0" fontId="18" fillId="0" borderId="0" xfId="17" applyFont="1" applyAlignment="1">
      <alignment horizontal="right" vertical="center"/>
    </xf>
    <xf numFmtId="0" fontId="19" fillId="0" borderId="1" xfId="17" applyFont="1" applyBorder="1" applyAlignment="1">
      <alignment horizontal="center" wrapText="1"/>
    </xf>
    <xf numFmtId="0" fontId="20" fillId="0" borderId="1" xfId="17" applyFont="1" applyBorder="1" applyAlignment="1">
      <alignment horizontal="center" vertical="center" wrapText="1"/>
    </xf>
    <xf numFmtId="164" fontId="0" fillId="0" borderId="0" xfId="3" applyNumberFormat="1" applyFont="1" applyAlignment="1">
      <alignment vertical="center" wrapText="1"/>
    </xf>
    <xf numFmtId="0" fontId="6" fillId="0" borderId="0" xfId="17" applyAlignment="1">
      <alignment horizontal="left" vertical="center" wrapText="1" indent="1"/>
    </xf>
    <xf numFmtId="0" fontId="6" fillId="0" borderId="17" xfId="17" applyBorder="1" applyAlignment="1">
      <alignment horizontal="left" vertical="center"/>
    </xf>
    <xf numFmtId="0" fontId="6" fillId="0" borderId="17" xfId="17" applyBorder="1" applyAlignment="1">
      <alignment horizontal="left" vertical="center" wrapText="1"/>
    </xf>
    <xf numFmtId="49" fontId="6" fillId="3" borderId="0" xfId="0" applyNumberFormat="1" applyFont="1" applyFill="1" applyAlignment="1">
      <alignment horizontal="left" vertical="center"/>
    </xf>
    <xf numFmtId="49" fontId="6" fillId="3" borderId="0" xfId="0" applyNumberFormat="1" applyFont="1" applyFill="1" applyAlignment="1">
      <alignment horizontal="left" vertical="top"/>
    </xf>
    <xf numFmtId="49" fontId="6" fillId="3" borderId="0" xfId="0" applyNumberFormat="1" applyFont="1" applyFill="1" applyAlignment="1">
      <alignment horizontal="left" vertical="top" wrapText="1"/>
    </xf>
    <xf numFmtId="49" fontId="7" fillId="0" borderId="11" xfId="17" applyNumberFormat="1" applyFont="1" applyBorder="1" applyAlignment="1">
      <alignment horizontal="right" vertical="center"/>
    </xf>
    <xf numFmtId="0" fontId="6" fillId="0" borderId="6" xfId="17" applyBorder="1" applyAlignment="1">
      <alignment horizontal="left" vertical="center" wrapText="1"/>
    </xf>
    <xf numFmtId="49" fontId="6" fillId="0" borderId="15" xfId="17" applyNumberFormat="1" applyBorder="1" applyAlignment="1">
      <alignment horizontal="right" vertical="center"/>
    </xf>
    <xf numFmtId="49" fontId="6" fillId="0" borderId="1" xfId="17" applyNumberFormat="1" applyBorder="1" applyAlignment="1">
      <alignment horizontal="right" vertical="center"/>
    </xf>
    <xf numFmtId="0" fontId="6" fillId="0" borderId="1" xfId="17" applyBorder="1" applyAlignment="1">
      <alignment horizontal="right"/>
    </xf>
    <xf numFmtId="49" fontId="7" fillId="0" borderId="1" xfId="17" applyNumberFormat="1" applyFont="1" applyBorder="1" applyAlignment="1">
      <alignment horizontal="right" vertical="center"/>
    </xf>
    <xf numFmtId="0" fontId="6" fillId="0" borderId="14" xfId="17" applyBorder="1" applyAlignment="1">
      <alignment vertical="center" wrapText="1"/>
    </xf>
    <xf numFmtId="49" fontId="6" fillId="0" borderId="15" xfId="17" applyNumberFormat="1" applyBorder="1" applyAlignment="1">
      <alignment horizontal="right" vertical="center" wrapText="1"/>
    </xf>
    <xf numFmtId="0" fontId="6" fillId="0" borderId="1" xfId="17" applyBorder="1" applyAlignment="1">
      <alignment horizontal="right" vertical="center"/>
    </xf>
    <xf numFmtId="0" fontId="6" fillId="0" borderId="14" xfId="17" applyBorder="1" applyAlignment="1">
      <alignment horizontal="center" vertical="center" wrapText="1"/>
    </xf>
    <xf numFmtId="0" fontId="7" fillId="0" borderId="17" xfId="17" applyFont="1" applyBorder="1" applyAlignment="1">
      <alignment horizontal="center" vertical="center" wrapText="1"/>
    </xf>
    <xf numFmtId="0" fontId="6" fillId="0" borderId="2" xfId="17" applyBorder="1" applyAlignment="1">
      <alignment horizontal="left" vertical="center" wrapText="1"/>
    </xf>
    <xf numFmtId="0" fontId="18" fillId="0" borderId="0" xfId="17" applyFont="1" applyAlignment="1">
      <alignment horizontal="left" vertical="center" wrapText="1"/>
    </xf>
    <xf numFmtId="0" fontId="7" fillId="0" borderId="12" xfId="17" applyFont="1" applyBorder="1" applyAlignment="1">
      <alignment horizontal="right" vertical="center"/>
    </xf>
    <xf numFmtId="0" fontId="17" fillId="0" borderId="17" xfId="17" applyFont="1" applyBorder="1" applyAlignment="1">
      <alignment horizontal="left" vertical="center" wrapText="1"/>
    </xf>
    <xf numFmtId="49" fontId="7" fillId="0" borderId="1" xfId="17" applyNumberFormat="1" applyFont="1" applyBorder="1" applyAlignment="1">
      <alignment horizontal="right" vertical="top" wrapText="1"/>
    </xf>
    <xf numFmtId="0" fontId="7" fillId="0" borderId="0" xfId="17" applyFont="1" applyAlignment="1">
      <alignment horizontal="center" vertical="top"/>
    </xf>
    <xf numFmtId="49" fontId="6" fillId="0" borderId="0" xfId="17" applyNumberFormat="1" applyAlignment="1">
      <alignment horizontal="center" vertical="center"/>
    </xf>
    <xf numFmtId="49" fontId="6" fillId="0" borderId="1" xfId="17" applyNumberFormat="1" applyBorder="1" applyAlignment="1">
      <alignment horizontal="right" vertical="top"/>
    </xf>
    <xf numFmtId="0" fontId="6" fillId="0" borderId="15" xfId="17" applyBorder="1" applyAlignment="1">
      <alignment vertical="center" wrapText="1"/>
    </xf>
    <xf numFmtId="9" fontId="6" fillId="0" borderId="0" xfId="17" applyNumberFormat="1" applyAlignment="1">
      <alignment vertical="center"/>
    </xf>
    <xf numFmtId="0" fontId="6" fillId="0" borderId="0" xfId="0" applyFont="1" applyAlignment="1">
      <alignment wrapText="1"/>
    </xf>
    <xf numFmtId="0" fontId="7" fillId="0" borderId="0" xfId="0" applyFont="1"/>
    <xf numFmtId="0" fontId="6" fillId="4" borderId="11" xfId="0" applyFont="1" applyFill="1" applyBorder="1" applyAlignment="1">
      <alignment horizontal="center"/>
    </xf>
    <xf numFmtId="173" fontId="0" fillId="3" borderId="11" xfId="0" applyNumberFormat="1" applyFill="1" applyBorder="1" applyAlignment="1">
      <alignment horizontal="center"/>
    </xf>
    <xf numFmtId="0" fontId="6" fillId="4" borderId="19" xfId="0" applyFont="1" applyFill="1" applyBorder="1"/>
    <xf numFmtId="0" fontId="0" fillId="3" borderId="19" xfId="0" applyFill="1" applyBorder="1"/>
    <xf numFmtId="0" fontId="6" fillId="4" borderId="0" xfId="0" applyFont="1" applyFill="1"/>
    <xf numFmtId="0" fontId="6" fillId="4" borderId="20" xfId="0" applyFont="1" applyFill="1" applyBorder="1"/>
    <xf numFmtId="0" fontId="6" fillId="4" borderId="21" xfId="0" applyFont="1" applyFill="1" applyBorder="1"/>
    <xf numFmtId="0" fontId="6" fillId="4" borderId="22" xfId="0" applyFont="1" applyFill="1" applyBorder="1"/>
    <xf numFmtId="0" fontId="6" fillId="3" borderId="23" xfId="0" applyFont="1" applyFill="1" applyBorder="1"/>
    <xf numFmtId="0" fontId="0" fillId="3" borderId="14" xfId="0" applyFill="1" applyBorder="1"/>
    <xf numFmtId="0" fontId="6" fillId="3" borderId="14" xfId="0" applyFont="1" applyFill="1" applyBorder="1"/>
    <xf numFmtId="0" fontId="0" fillId="4" borderId="24" xfId="0" applyFill="1" applyBorder="1"/>
    <xf numFmtId="0" fontId="6" fillId="3" borderId="25" xfId="0" applyFont="1" applyFill="1" applyBorder="1"/>
    <xf numFmtId="0" fontId="0" fillId="3" borderId="15" xfId="0" applyFill="1" applyBorder="1"/>
    <xf numFmtId="0" fontId="6" fillId="3" borderId="26" xfId="0" applyFont="1" applyFill="1" applyBorder="1"/>
    <xf numFmtId="0" fontId="0" fillId="4" borderId="27" xfId="0" applyFill="1" applyBorder="1"/>
    <xf numFmtId="0" fontId="6" fillId="4" borderId="28" xfId="0" applyFont="1" applyFill="1" applyBorder="1"/>
    <xf numFmtId="0" fontId="0" fillId="3" borderId="29" xfId="0" applyFill="1" applyBorder="1"/>
    <xf numFmtId="0" fontId="24" fillId="0" borderId="0" xfId="0" applyFont="1"/>
    <xf numFmtId="0" fontId="0" fillId="4" borderId="30" xfId="0" applyFill="1" applyBorder="1"/>
    <xf numFmtId="0" fontId="6" fillId="4" borderId="31" xfId="0" applyFont="1" applyFill="1" applyBorder="1"/>
    <xf numFmtId="0" fontId="0" fillId="3" borderId="22" xfId="0" applyFill="1" applyBorder="1"/>
    <xf numFmtId="168" fontId="6" fillId="0" borderId="1" xfId="3" applyNumberFormat="1" applyFont="1" applyFill="1" applyBorder="1" applyAlignment="1">
      <alignment horizontal="right" vertical="center" wrapText="1"/>
    </xf>
    <xf numFmtId="168" fontId="6" fillId="0" borderId="0" xfId="3" applyNumberFormat="1" applyFont="1" applyFill="1" applyBorder="1" applyAlignment="1">
      <alignment horizontal="right" vertical="center" wrapText="1"/>
    </xf>
    <xf numFmtId="168" fontId="6" fillId="0" borderId="1" xfId="17" applyNumberFormat="1" applyBorder="1" applyAlignment="1">
      <alignment horizontal="center" vertical="center" wrapText="1"/>
    </xf>
    <xf numFmtId="10" fontId="6" fillId="0" borderId="1" xfId="1" applyNumberFormat="1" applyFont="1" applyBorder="1" applyAlignment="1">
      <alignment vertical="center" wrapText="1"/>
    </xf>
    <xf numFmtId="3" fontId="6" fillId="0" borderId="1" xfId="1" applyNumberFormat="1" applyFont="1" applyFill="1" applyBorder="1" applyAlignment="1">
      <alignment horizontal="center" vertical="center" wrapText="1"/>
    </xf>
    <xf numFmtId="168" fontId="6" fillId="0" borderId="0" xfId="1" applyNumberFormat="1" applyFont="1" applyFill="1" applyBorder="1" applyAlignment="1">
      <alignment horizontal="right" vertical="center" wrapText="1"/>
    </xf>
    <xf numFmtId="49" fontId="17" fillId="0" borderId="1" xfId="0" applyNumberFormat="1" applyFont="1" applyBorder="1" applyAlignment="1">
      <alignment vertical="top" wrapText="1"/>
    </xf>
    <xf numFmtId="174" fontId="6" fillId="0" borderId="1" xfId="1" applyNumberFormat="1" applyFont="1" applyBorder="1" applyAlignment="1">
      <alignment horizontal="center" wrapText="1"/>
    </xf>
    <xf numFmtId="0" fontId="17" fillId="0" borderId="17" xfId="0" applyFont="1" applyBorder="1" applyAlignment="1">
      <alignment wrapText="1"/>
    </xf>
    <xf numFmtId="0" fontId="17" fillId="0" borderId="1" xfId="0" applyFont="1" applyBorder="1" applyAlignment="1">
      <alignment horizontal="center"/>
    </xf>
    <xf numFmtId="0" fontId="17" fillId="0" borderId="17" xfId="0" applyFont="1" applyBorder="1" applyAlignment="1">
      <alignment horizontal="left" wrapText="1" indent="1"/>
    </xf>
    <xf numFmtId="2" fontId="6" fillId="0" borderId="1" xfId="7" applyNumberFormat="1" applyFont="1" applyBorder="1" applyAlignment="1">
      <alignment wrapText="1"/>
    </xf>
    <xf numFmtId="0" fontId="17" fillId="0" borderId="1" xfId="0" applyFont="1" applyBorder="1" applyAlignment="1">
      <alignment wrapText="1"/>
    </xf>
    <xf numFmtId="0" fontId="17" fillId="0" borderId="1" xfId="0" applyFont="1" applyBorder="1" applyAlignment="1">
      <alignment horizontal="left" wrapText="1" indent="1"/>
    </xf>
    <xf numFmtId="0" fontId="6" fillId="0" borderId="17" xfId="17" applyBorder="1" applyAlignment="1">
      <alignment horizontal="left" vertical="top" wrapText="1"/>
    </xf>
    <xf numFmtId="175" fontId="6" fillId="0" borderId="1" xfId="7" applyNumberFormat="1" applyFont="1" applyBorder="1" applyAlignment="1">
      <alignment vertical="center" wrapText="1"/>
    </xf>
    <xf numFmtId="175" fontId="6" fillId="0" borderId="1" xfId="17" applyNumberFormat="1" applyBorder="1" applyAlignment="1">
      <alignment wrapText="1"/>
    </xf>
    <xf numFmtId="175" fontId="6" fillId="0" borderId="1" xfId="7" applyNumberFormat="1" applyFont="1" applyBorder="1" applyAlignment="1">
      <alignment wrapText="1"/>
    </xf>
    <xf numFmtId="0" fontId="17" fillId="0" borderId="1" xfId="0" applyFont="1" applyBorder="1" applyAlignment="1" applyProtection="1">
      <alignment horizontal="left" vertical="top" wrapText="1" indent="1"/>
      <protection locked="0"/>
    </xf>
    <xf numFmtId="0" fontId="17" fillId="0" borderId="1" xfId="0" applyFont="1" applyBorder="1" applyAlignment="1" applyProtection="1">
      <alignment horizontal="center"/>
      <protection locked="0"/>
    </xf>
    <xf numFmtId="0" fontId="17" fillId="0" borderId="1" xfId="0" applyFont="1" applyBorder="1" applyAlignment="1" applyProtection="1">
      <alignment vertical="top" wrapText="1"/>
      <protection locked="0"/>
    </xf>
    <xf numFmtId="0" fontId="17" fillId="0" borderId="0" xfId="0" applyFont="1" applyAlignment="1" applyProtection="1">
      <alignment horizontal="left" vertical="top" wrapText="1" indent="1"/>
      <protection locked="0"/>
    </xf>
    <xf numFmtId="0" fontId="17" fillId="0" borderId="0" xfId="0" applyFont="1" applyAlignment="1" applyProtection="1">
      <alignment horizontal="center"/>
      <protection locked="0"/>
    </xf>
    <xf numFmtId="0" fontId="6" fillId="0" borderId="0" xfId="17" applyAlignment="1">
      <alignment horizontal="center" wrapText="1"/>
    </xf>
    <xf numFmtId="167" fontId="6" fillId="0" borderId="0" xfId="1" applyFont="1" applyFill="1" applyBorder="1" applyAlignment="1">
      <alignment wrapText="1"/>
    </xf>
    <xf numFmtId="49" fontId="18" fillId="0" borderId="1" xfId="17" applyNumberFormat="1" applyFont="1" applyBorder="1" applyAlignment="1">
      <alignment horizontal="right" vertical="top" wrapText="1"/>
    </xf>
    <xf numFmtId="49" fontId="17" fillId="0" borderId="1" xfId="17" applyNumberFormat="1" applyFont="1" applyBorder="1" applyAlignment="1">
      <alignment horizontal="left" vertical="top" wrapText="1"/>
    </xf>
    <xf numFmtId="175" fontId="17" fillId="0" borderId="1" xfId="17" applyNumberFormat="1" applyFont="1" applyBorder="1" applyAlignment="1">
      <alignment wrapText="1"/>
    </xf>
    <xf numFmtId="4" fontId="6" fillId="0" borderId="1" xfId="1" applyNumberFormat="1" applyFont="1" applyBorder="1" applyAlignment="1">
      <alignment horizontal="center" wrapText="1"/>
    </xf>
    <xf numFmtId="0" fontId="18" fillId="5" borderId="7" xfId="0" applyFont="1" applyFill="1" applyBorder="1" applyAlignment="1">
      <alignment horizontal="center" vertical="center"/>
    </xf>
    <xf numFmtId="0" fontId="17" fillId="0" borderId="1" xfId="12" applyFont="1" applyBorder="1" applyAlignment="1">
      <alignment horizontal="center" vertical="center"/>
    </xf>
    <xf numFmtId="3" fontId="17" fillId="0" borderId="1" xfId="0" applyNumberFormat="1" applyFont="1" applyBorder="1" applyAlignment="1" applyProtection="1">
      <alignment horizontal="center"/>
      <protection locked="0"/>
    </xf>
    <xf numFmtId="5" fontId="25" fillId="0" borderId="1" xfId="19" applyFont="1" applyBorder="1" applyAlignment="1">
      <alignment horizontal="right"/>
    </xf>
    <xf numFmtId="0" fontId="18" fillId="5" borderId="18" xfId="0"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pplyProtection="1">
      <alignment horizontal="left" vertical="top" wrapText="1"/>
      <protection locked="0"/>
    </xf>
    <xf numFmtId="0" fontId="25" fillId="0" borderId="1" xfId="12" applyFont="1" applyBorder="1" applyAlignment="1">
      <alignment horizontal="center"/>
    </xf>
    <xf numFmtId="175" fontId="6" fillId="0" borderId="1" xfId="17" applyNumberFormat="1" applyBorder="1" applyAlignment="1">
      <alignment vertical="center" wrapText="1"/>
    </xf>
    <xf numFmtId="172" fontId="6" fillId="0" borderId="0" xfId="17" applyNumberFormat="1" applyAlignment="1">
      <alignment horizontal="right" vertical="center"/>
    </xf>
    <xf numFmtId="172" fontId="6" fillId="0" borderId="0" xfId="17" applyNumberFormat="1" applyAlignment="1">
      <alignment vertical="center" wrapText="1"/>
    </xf>
    <xf numFmtId="49" fontId="6" fillId="0" borderId="15" xfId="17" applyNumberFormat="1" applyBorder="1" applyAlignment="1">
      <alignment horizontal="center" vertical="center" wrapText="1"/>
    </xf>
    <xf numFmtId="49" fontId="7" fillId="0" borderId="0" xfId="17" applyNumberFormat="1" applyFont="1" applyAlignment="1">
      <alignment horizontal="left" vertical="top"/>
    </xf>
    <xf numFmtId="0" fontId="6" fillId="0" borderId="0" xfId="17" applyAlignment="1">
      <alignment horizontal="left" vertical="center" indent="1"/>
    </xf>
    <xf numFmtId="164" fontId="18" fillId="0" borderId="32" xfId="3" applyNumberFormat="1" applyFont="1" applyBorder="1" applyAlignment="1" applyProtection="1">
      <alignment horizontal="center" vertical="center" wrapText="1"/>
      <protection locked="0"/>
    </xf>
    <xf numFmtId="164" fontId="18" fillId="0" borderId="30" xfId="3" applyNumberFormat="1" applyFont="1" applyBorder="1" applyAlignment="1" applyProtection="1">
      <alignment horizontal="center" vertical="center" wrapText="1"/>
      <protection locked="0"/>
    </xf>
    <xf numFmtId="0" fontId="6" fillId="0" borderId="34" xfId="17" applyBorder="1" applyAlignment="1">
      <alignment vertical="center" wrapText="1"/>
    </xf>
    <xf numFmtId="0" fontId="6" fillId="0" borderId="35" xfId="17" applyBorder="1" applyAlignment="1">
      <alignment vertical="center" wrapText="1"/>
    </xf>
    <xf numFmtId="0" fontId="18" fillId="0" borderId="20" xfId="17" applyFont="1" applyBorder="1" applyAlignment="1">
      <alignment horizontal="center" vertical="center" wrapText="1"/>
    </xf>
    <xf numFmtId="0" fontId="18" fillId="0" borderId="21" xfId="17" applyFont="1" applyBorder="1" applyAlignment="1">
      <alignment horizontal="center" vertical="center" wrapText="1"/>
    </xf>
    <xf numFmtId="164" fontId="18" fillId="0" borderId="22" xfId="3" applyNumberFormat="1" applyFont="1" applyBorder="1" applyAlignment="1" applyProtection="1">
      <alignment horizontal="center" vertical="center" wrapText="1"/>
      <protection locked="0"/>
    </xf>
    <xf numFmtId="164" fontId="18" fillId="0" borderId="20" xfId="3" applyNumberFormat="1" applyFont="1" applyBorder="1" applyAlignment="1" applyProtection="1">
      <alignment horizontal="center" vertical="center" wrapText="1"/>
      <protection locked="0"/>
    </xf>
    <xf numFmtId="164" fontId="18" fillId="0" borderId="36" xfId="3" applyNumberFormat="1" applyFont="1" applyBorder="1" applyAlignment="1" applyProtection="1">
      <alignment horizontal="center" vertical="center" wrapText="1"/>
      <protection locked="0"/>
    </xf>
    <xf numFmtId="176" fontId="18" fillId="0" borderId="22" xfId="3" applyNumberFormat="1" applyFont="1" applyBorder="1" applyAlignment="1" applyProtection="1">
      <alignment horizontal="center" vertical="center" wrapText="1"/>
      <protection locked="0"/>
    </xf>
    <xf numFmtId="0" fontId="7" fillId="0" borderId="0" xfId="17" applyFont="1" applyAlignment="1">
      <alignment horizontal="left" vertical="center" wrapText="1" indent="1"/>
    </xf>
    <xf numFmtId="176" fontId="18" fillId="0" borderId="20" xfId="3" applyNumberFormat="1" applyFont="1" applyBorder="1" applyAlignment="1" applyProtection="1">
      <alignment horizontal="center" vertical="center" wrapText="1"/>
      <protection locked="0"/>
    </xf>
    <xf numFmtId="176" fontId="18" fillId="0" borderId="36" xfId="3" applyNumberFormat="1" applyFont="1" applyBorder="1" applyAlignment="1" applyProtection="1">
      <alignment horizontal="center" vertical="center" wrapText="1"/>
      <protection locked="0"/>
    </xf>
    <xf numFmtId="0" fontId="17" fillId="0" borderId="23" xfId="17" applyFont="1" applyBorder="1" applyAlignment="1">
      <alignment horizontal="center" vertical="center" wrapText="1"/>
    </xf>
    <xf numFmtId="177" fontId="17" fillId="0" borderId="24" xfId="3" applyNumberFormat="1" applyFont="1" applyBorder="1" applyAlignment="1">
      <alignment horizontal="right" vertical="center" wrapText="1"/>
    </xf>
    <xf numFmtId="169" fontId="17" fillId="3" borderId="23" xfId="3" applyNumberFormat="1" applyFont="1" applyFill="1" applyBorder="1" applyAlignment="1">
      <alignment horizontal="center" vertical="center" wrapText="1"/>
    </xf>
    <xf numFmtId="177" fontId="17" fillId="0" borderId="5" xfId="3" applyNumberFormat="1" applyFont="1" applyBorder="1" applyAlignment="1">
      <alignment horizontal="right" vertical="center" wrapText="1"/>
    </xf>
    <xf numFmtId="176" fontId="17" fillId="0" borderId="24" xfId="3" applyNumberFormat="1" applyFont="1" applyBorder="1" applyAlignment="1">
      <alignment horizontal="right" vertical="center" wrapText="1"/>
    </xf>
    <xf numFmtId="10" fontId="6" fillId="0" borderId="0" xfId="17" applyNumberFormat="1" applyAlignment="1">
      <alignment horizontal="left" vertical="center" wrapText="1" indent="1"/>
    </xf>
    <xf numFmtId="177" fontId="17" fillId="0" borderId="37" xfId="3" applyNumberFormat="1" applyFont="1" applyBorder="1" applyAlignment="1">
      <alignment horizontal="right" vertical="center" wrapText="1"/>
    </xf>
    <xf numFmtId="176" fontId="17" fillId="0" borderId="23" xfId="3" applyNumberFormat="1" applyFont="1" applyBorder="1" applyAlignment="1">
      <alignment horizontal="right" vertical="center" wrapText="1"/>
    </xf>
    <xf numFmtId="176" fontId="17" fillId="0" borderId="5" xfId="3" applyNumberFormat="1" applyFont="1" applyBorder="1" applyAlignment="1">
      <alignment horizontal="right" vertical="center" wrapText="1"/>
    </xf>
    <xf numFmtId="177" fontId="17" fillId="0" borderId="38" xfId="3" applyNumberFormat="1" applyFont="1" applyBorder="1" applyAlignment="1">
      <alignment horizontal="right" vertical="center" wrapText="1"/>
    </xf>
    <xf numFmtId="177" fontId="17" fillId="0" borderId="39" xfId="3" applyNumberFormat="1" applyFont="1" applyBorder="1" applyAlignment="1">
      <alignment horizontal="right" vertical="center" wrapText="1"/>
    </xf>
    <xf numFmtId="0" fontId="17" fillId="0" borderId="40" xfId="17" applyFont="1" applyBorder="1" applyAlignment="1">
      <alignment horizontal="center" vertical="center" wrapText="1"/>
    </xf>
    <xf numFmtId="0" fontId="17" fillId="0" borderId="11" xfId="17" applyFont="1" applyBorder="1" applyAlignment="1">
      <alignment horizontal="left" vertical="center" wrapText="1"/>
    </xf>
    <xf numFmtId="177" fontId="17" fillId="0" borderId="41" xfId="3" applyNumberFormat="1" applyFont="1" applyBorder="1" applyAlignment="1">
      <alignment horizontal="right" vertical="center" wrapText="1"/>
    </xf>
    <xf numFmtId="169" fontId="17" fillId="3" borderId="40" xfId="3" applyNumberFormat="1" applyFont="1" applyFill="1" applyBorder="1" applyAlignment="1">
      <alignment horizontal="center" vertical="center" wrapText="1"/>
    </xf>
    <xf numFmtId="177" fontId="17" fillId="0" borderId="12" xfId="3" applyNumberFormat="1" applyFont="1" applyBorder="1" applyAlignment="1">
      <alignment horizontal="right" vertical="center" wrapText="1"/>
    </xf>
    <xf numFmtId="176" fontId="17" fillId="0" borderId="41" xfId="3" applyNumberFormat="1" applyFont="1" applyBorder="1" applyAlignment="1">
      <alignment horizontal="right" vertical="center" wrapText="1"/>
    </xf>
    <xf numFmtId="177" fontId="17" fillId="0" borderId="42" xfId="3" applyNumberFormat="1" applyFont="1" applyBorder="1" applyAlignment="1">
      <alignment horizontal="right" vertical="center" wrapText="1"/>
    </xf>
    <xf numFmtId="176" fontId="17" fillId="0" borderId="40" xfId="3" applyNumberFormat="1" applyFont="1" applyBorder="1" applyAlignment="1">
      <alignment horizontal="right" vertical="center" wrapText="1"/>
    </xf>
    <xf numFmtId="176" fontId="17" fillId="0" borderId="12" xfId="3" applyNumberFormat="1" applyFont="1" applyBorder="1" applyAlignment="1">
      <alignment horizontal="right" vertical="center" wrapText="1"/>
    </xf>
    <xf numFmtId="177" fontId="17" fillId="0" borderId="43" xfId="3" applyNumberFormat="1" applyFont="1" applyBorder="1" applyAlignment="1">
      <alignment horizontal="right" vertical="center" wrapText="1"/>
    </xf>
    <xf numFmtId="177" fontId="17" fillId="0" borderId="12" xfId="3" applyNumberFormat="1" applyFont="1" applyFill="1" applyBorder="1" applyAlignment="1">
      <alignment horizontal="right" vertical="center" wrapText="1"/>
    </xf>
    <xf numFmtId="176" fontId="17" fillId="0" borderId="41" xfId="3" applyNumberFormat="1" applyFont="1" applyFill="1" applyBorder="1" applyAlignment="1">
      <alignment horizontal="right" vertical="center" wrapText="1"/>
    </xf>
    <xf numFmtId="177" fontId="17" fillId="0" borderId="42" xfId="3" applyNumberFormat="1" applyFont="1" applyFill="1" applyBorder="1" applyAlignment="1">
      <alignment horizontal="right" vertical="center" wrapText="1"/>
    </xf>
    <xf numFmtId="176" fontId="17" fillId="0" borderId="40" xfId="3" applyNumberFormat="1" applyFont="1" applyFill="1" applyBorder="1" applyAlignment="1">
      <alignment horizontal="right" vertical="center" wrapText="1"/>
    </xf>
    <xf numFmtId="176" fontId="17" fillId="0" borderId="12" xfId="3" applyNumberFormat="1" applyFont="1" applyFill="1" applyBorder="1" applyAlignment="1">
      <alignment horizontal="right" vertical="center" wrapText="1"/>
    </xf>
    <xf numFmtId="177" fontId="17" fillId="0" borderId="43" xfId="3" applyNumberFormat="1" applyFont="1" applyFill="1" applyBorder="1" applyAlignment="1">
      <alignment horizontal="right" vertical="center" wrapText="1"/>
    </xf>
    <xf numFmtId="177" fontId="17" fillId="0" borderId="42" xfId="3" applyNumberFormat="1" applyFont="1" applyBorder="1" applyAlignment="1">
      <alignment vertical="center" wrapText="1"/>
    </xf>
    <xf numFmtId="177" fontId="17" fillId="0" borderId="43" xfId="3" applyNumberFormat="1" applyFont="1" applyBorder="1" applyAlignment="1">
      <alignment vertical="center" wrapText="1"/>
    </xf>
    <xf numFmtId="177" fontId="17" fillId="0" borderId="46" xfId="3" applyNumberFormat="1" applyFont="1" applyBorder="1" applyAlignment="1">
      <alignment horizontal="right" vertical="center" wrapText="1"/>
    </xf>
    <xf numFmtId="0" fontId="17" fillId="0" borderId="42" xfId="17" applyFont="1" applyBorder="1" applyAlignment="1">
      <alignment horizontal="center" vertical="center" wrapText="1"/>
    </xf>
    <xf numFmtId="0" fontId="17" fillId="0" borderId="18" xfId="17" applyFont="1" applyBorder="1" applyAlignment="1">
      <alignment horizontal="left" vertical="center" wrapText="1"/>
    </xf>
    <xf numFmtId="169" fontId="17" fillId="0" borderId="40" xfId="3" applyNumberFormat="1" applyFont="1" applyBorder="1" applyAlignment="1">
      <alignment horizontal="center" vertical="center" wrapText="1"/>
    </xf>
    <xf numFmtId="177" fontId="17" fillId="0" borderId="48" xfId="3" applyNumberFormat="1" applyFont="1" applyBorder="1" applyAlignment="1">
      <alignment horizontal="right" vertical="center" wrapText="1"/>
    </xf>
    <xf numFmtId="177" fontId="17" fillId="0" borderId="49" xfId="3" applyNumberFormat="1" applyFont="1" applyBorder="1" applyAlignment="1">
      <alignment horizontal="right" vertical="center" wrapText="1"/>
    </xf>
    <xf numFmtId="177" fontId="17" fillId="0" borderId="45" xfId="3" applyNumberFormat="1" applyFont="1" applyBorder="1" applyAlignment="1">
      <alignment horizontal="right" vertical="center" wrapText="1"/>
    </xf>
    <xf numFmtId="177" fontId="17" fillId="0" borderId="50" xfId="3" applyNumberFormat="1" applyFont="1" applyBorder="1" applyAlignment="1">
      <alignment horizontal="right" vertical="center" wrapText="1"/>
    </xf>
    <xf numFmtId="169" fontId="17" fillId="0" borderId="25" xfId="3" applyNumberFormat="1" applyFont="1" applyBorder="1" applyAlignment="1">
      <alignment horizontal="center" vertical="center" wrapText="1"/>
    </xf>
    <xf numFmtId="177" fontId="17" fillId="0" borderId="8" xfId="3" applyNumberFormat="1" applyFont="1" applyBorder="1" applyAlignment="1">
      <alignment horizontal="right" vertical="center" wrapText="1"/>
    </xf>
    <xf numFmtId="176" fontId="17" fillId="0" borderId="50" xfId="3" applyNumberFormat="1" applyFont="1" applyBorder="1" applyAlignment="1">
      <alignment horizontal="right" vertical="center" wrapText="1"/>
    </xf>
    <xf numFmtId="176" fontId="17" fillId="0" borderId="25" xfId="3" applyNumberFormat="1" applyFont="1" applyBorder="1" applyAlignment="1">
      <alignment horizontal="right" vertical="center" wrapText="1"/>
    </xf>
    <xf numFmtId="176" fontId="17" fillId="0" borderId="8" xfId="3" applyNumberFormat="1" applyFont="1" applyBorder="1" applyAlignment="1">
      <alignment horizontal="right" vertical="center" wrapText="1"/>
    </xf>
    <xf numFmtId="177" fontId="17" fillId="0" borderId="44" xfId="3" applyNumberFormat="1" applyFont="1" applyBorder="1" applyAlignment="1">
      <alignment horizontal="right" vertical="center" wrapText="1"/>
    </xf>
    <xf numFmtId="177" fontId="18" fillId="0" borderId="22" xfId="3" applyNumberFormat="1" applyFont="1" applyBorder="1" applyAlignment="1">
      <alignment horizontal="right" vertical="center" wrapText="1"/>
    </xf>
    <xf numFmtId="169" fontId="18" fillId="0" borderId="20" xfId="3" applyNumberFormat="1" applyFont="1" applyBorder="1" applyAlignment="1">
      <alignment horizontal="center" vertical="center" wrapText="1"/>
    </xf>
    <xf numFmtId="39" fontId="18" fillId="0" borderId="36" xfId="3" applyNumberFormat="1" applyFont="1" applyBorder="1" applyAlignment="1">
      <alignment horizontal="right" vertical="center" wrapText="1"/>
    </xf>
    <xf numFmtId="176" fontId="18" fillId="0" borderId="22" xfId="3" applyNumberFormat="1" applyFont="1" applyBorder="1" applyAlignment="1">
      <alignment horizontal="right" vertical="center" wrapText="1"/>
    </xf>
    <xf numFmtId="177" fontId="18" fillId="0" borderId="32" xfId="3" applyNumberFormat="1" applyFont="1" applyBorder="1" applyAlignment="1">
      <alignment horizontal="right" vertical="center" wrapText="1"/>
    </xf>
    <xf numFmtId="0" fontId="7" fillId="0" borderId="52" xfId="17" applyFont="1" applyBorder="1" applyAlignment="1">
      <alignment horizontal="right" vertical="center"/>
    </xf>
    <xf numFmtId="0" fontId="7" fillId="0" borderId="53" xfId="17" applyFont="1" applyBorder="1" applyAlignment="1">
      <alignment horizontal="right" vertical="center"/>
    </xf>
    <xf numFmtId="177" fontId="18" fillId="0" borderId="30" xfId="3" applyNumberFormat="1" applyFont="1" applyBorder="1" applyAlignment="1">
      <alignment horizontal="right" vertical="center" wrapText="1"/>
    </xf>
    <xf numFmtId="167" fontId="14" fillId="0" borderId="0" xfId="1" applyFont="1" applyAlignment="1">
      <alignment vertical="center" wrapText="1"/>
    </xf>
    <xf numFmtId="0" fontId="7" fillId="0" borderId="12" xfId="17" applyFont="1" applyBorder="1" applyAlignment="1">
      <alignment horizontal="left" vertical="center" indent="1"/>
    </xf>
    <xf numFmtId="0" fontId="7" fillId="0" borderId="18" xfId="17" applyFont="1" applyBorder="1" applyAlignment="1">
      <alignment horizontal="left" vertical="center" indent="1"/>
    </xf>
    <xf numFmtId="164" fontId="7" fillId="0" borderId="11" xfId="3" applyNumberFormat="1" applyFont="1" applyBorder="1" applyAlignment="1">
      <alignment vertical="center" wrapText="1"/>
    </xf>
    <xf numFmtId="169" fontId="7" fillId="0" borderId="11" xfId="7" applyNumberFormat="1" applyFont="1" applyBorder="1" applyAlignment="1">
      <alignment horizontal="center" vertical="center" wrapText="1"/>
    </xf>
    <xf numFmtId="0" fontId="6" fillId="0" borderId="12" xfId="17" applyBorder="1" applyAlignment="1">
      <alignment horizontal="left" vertical="center" indent="1"/>
    </xf>
    <xf numFmtId="0" fontId="6" fillId="0" borderId="18" xfId="17" applyBorder="1" applyAlignment="1">
      <alignment horizontal="left" vertical="center" indent="1"/>
    </xf>
    <xf numFmtId="164" fontId="0" fillId="0" borderId="11" xfId="3" applyNumberFormat="1" applyFont="1" applyBorder="1" applyAlignment="1">
      <alignment vertical="center" wrapText="1"/>
    </xf>
    <xf numFmtId="169" fontId="6" fillId="0" borderId="11" xfId="7" applyNumberFormat="1" applyBorder="1" applyAlignment="1">
      <alignment horizontal="center" vertical="center" wrapText="1"/>
    </xf>
    <xf numFmtId="164" fontId="6" fillId="0" borderId="11" xfId="3" applyNumberFormat="1" applyBorder="1" applyAlignment="1">
      <alignment vertical="center" wrapText="1"/>
    </xf>
    <xf numFmtId="0" fontId="26" fillId="0" borderId="0" xfId="17" applyFont="1" applyAlignment="1">
      <alignment horizontal="center" vertical="center"/>
    </xf>
    <xf numFmtId="39" fontId="17" fillId="0" borderId="41" xfId="3" applyNumberFormat="1" applyFont="1" applyBorder="1" applyAlignment="1">
      <alignment horizontal="right" vertical="center" wrapText="1"/>
    </xf>
    <xf numFmtId="10" fontId="6" fillId="0" borderId="0" xfId="17" applyNumberFormat="1" applyAlignment="1">
      <alignment vertical="center" wrapText="1"/>
    </xf>
    <xf numFmtId="10" fontId="6" fillId="2" borderId="0" xfId="17" applyNumberFormat="1" applyFill="1" applyAlignment="1">
      <alignment vertical="center" wrapText="1"/>
    </xf>
    <xf numFmtId="0" fontId="17" fillId="0" borderId="23" xfId="17" applyFont="1" applyBorder="1" applyAlignment="1">
      <alignment horizontal="left" vertical="center" wrapText="1"/>
    </xf>
    <xf numFmtId="3" fontId="17" fillId="0" borderId="1" xfId="15" applyNumberFormat="1" applyFont="1" applyBorder="1" applyAlignment="1">
      <alignment horizontal="center"/>
    </xf>
    <xf numFmtId="165" fontId="17" fillId="0" borderId="1" xfId="15" applyFont="1" applyFill="1" applyBorder="1" applyAlignment="1">
      <alignment horizontal="right"/>
    </xf>
    <xf numFmtId="0" fontId="17" fillId="0" borderId="1" xfId="0" applyFont="1" applyBorder="1" applyAlignment="1">
      <alignment horizontal="center" wrapText="1"/>
    </xf>
    <xf numFmtId="43" fontId="17" fillId="0" borderId="1" xfId="0" applyNumberFormat="1" applyFont="1" applyBorder="1" applyAlignment="1">
      <alignment horizontal="right"/>
    </xf>
    <xf numFmtId="3" fontId="17" fillId="0" borderId="1" xfId="0" applyNumberFormat="1" applyFont="1" applyBorder="1" applyAlignment="1">
      <alignment horizontal="right"/>
    </xf>
    <xf numFmtId="178" fontId="17" fillId="0" borderId="1" xfId="0" applyNumberFormat="1" applyFont="1" applyBorder="1" applyAlignment="1">
      <alignment horizontal="center" wrapText="1"/>
    </xf>
    <xf numFmtId="10" fontId="17" fillId="0" borderId="1" xfId="7" applyNumberFormat="1" applyFont="1" applyBorder="1" applyAlignment="1">
      <alignment horizontal="right"/>
    </xf>
    <xf numFmtId="0" fontId="17" fillId="0" borderId="1" xfId="0" applyFont="1" applyBorder="1" applyAlignment="1">
      <alignment horizontal="left" vertical="top" wrapText="1"/>
    </xf>
    <xf numFmtId="0" fontId="17" fillId="0" borderId="1" xfId="0" applyFont="1" applyBorder="1" applyAlignment="1">
      <alignment horizontal="left" vertical="top" wrapText="1" indent="1"/>
    </xf>
    <xf numFmtId="38" fontId="17" fillId="0" borderId="1" xfId="0" applyNumberFormat="1" applyFont="1" applyBorder="1" applyAlignment="1" applyProtection="1">
      <alignment horizontal="center" wrapText="1"/>
      <protection locked="0"/>
    </xf>
    <xf numFmtId="4" fontId="17" fillId="0" borderId="1" xfId="0" applyNumberFormat="1" applyFont="1" applyBorder="1" applyAlignment="1" applyProtection="1">
      <alignment wrapText="1"/>
      <protection locked="0"/>
    </xf>
    <xf numFmtId="38" fontId="17" fillId="0" borderId="1" xfId="0" applyNumberFormat="1" applyFont="1" applyBorder="1" applyAlignment="1">
      <alignment horizontal="center" wrapText="1"/>
    </xf>
    <xf numFmtId="10" fontId="17" fillId="0" borderId="1" xfId="0" applyNumberFormat="1" applyFont="1" applyBorder="1" applyAlignment="1" applyProtection="1">
      <alignment wrapText="1"/>
      <protection locked="0"/>
    </xf>
    <xf numFmtId="179" fontId="17" fillId="0" borderId="1" xfId="0" applyNumberFormat="1" applyFont="1" applyBorder="1" applyAlignment="1" applyProtection="1">
      <alignment wrapText="1"/>
      <protection locked="0"/>
    </xf>
    <xf numFmtId="40" fontId="17" fillId="0" borderId="1" xfId="0" applyNumberFormat="1" applyFont="1" applyBorder="1" applyAlignment="1" applyProtection="1">
      <alignment horizontal="center" wrapText="1"/>
      <protection locked="0"/>
    </xf>
    <xf numFmtId="40" fontId="17" fillId="0" borderId="1" xfId="0" applyNumberFormat="1" applyFont="1" applyBorder="1" applyAlignment="1" applyProtection="1">
      <alignment wrapText="1"/>
      <protection locked="0"/>
    </xf>
    <xf numFmtId="177" fontId="17" fillId="0" borderId="44" xfId="3" applyNumberFormat="1" applyFont="1" applyBorder="1" applyAlignment="1">
      <alignment vertical="center" wrapText="1"/>
    </xf>
    <xf numFmtId="177" fontId="17" fillId="0" borderId="45" xfId="3" applyNumberFormat="1" applyFont="1" applyBorder="1"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7" fillId="0" borderId="12" xfId="0" applyFont="1" applyBorder="1" applyAlignment="1">
      <alignment horizontal="left" vertical="center" indent="1"/>
    </xf>
    <xf numFmtId="0" fontId="7" fillId="0" borderId="18" xfId="0" applyFont="1" applyBorder="1" applyAlignment="1">
      <alignment horizontal="left" vertical="center" indent="1"/>
    </xf>
    <xf numFmtId="0" fontId="6" fillId="0" borderId="12" xfId="0" applyFont="1" applyBorder="1" applyAlignment="1">
      <alignment horizontal="left" vertical="center" indent="1"/>
    </xf>
    <xf numFmtId="0" fontId="6" fillId="0" borderId="18" xfId="0" applyFont="1" applyBorder="1" applyAlignment="1">
      <alignment horizontal="left" vertical="center" indent="1"/>
    </xf>
    <xf numFmtId="39" fontId="17" fillId="0" borderId="50" xfId="3" applyNumberFormat="1" applyFont="1" applyBorder="1" applyAlignment="1">
      <alignment horizontal="right" vertical="center" wrapText="1"/>
    </xf>
    <xf numFmtId="44" fontId="18" fillId="0" borderId="22" xfId="3" applyNumberFormat="1" applyFont="1" applyBorder="1" applyAlignment="1">
      <alignment horizontal="left" vertical="center" wrapText="1"/>
    </xf>
    <xf numFmtId="44" fontId="17" fillId="0" borderId="50" xfId="1" applyNumberFormat="1" applyFont="1" applyBorder="1" applyAlignment="1">
      <alignment horizontal="left" vertical="center" wrapText="1"/>
    </xf>
    <xf numFmtId="44" fontId="18" fillId="0" borderId="22" xfId="1" applyNumberFormat="1" applyFont="1" applyBorder="1" applyAlignment="1">
      <alignment horizontal="left" vertical="center" wrapText="1"/>
    </xf>
    <xf numFmtId="44" fontId="17" fillId="0" borderId="54" xfId="1" applyNumberFormat="1" applyFont="1" applyBorder="1" applyAlignment="1" applyProtection="1">
      <alignment vertical="center" wrapText="1"/>
    </xf>
    <xf numFmtId="44" fontId="18" fillId="0" borderId="22" xfId="1" applyNumberFormat="1" applyFont="1" applyBorder="1" applyAlignment="1" applyProtection="1">
      <alignment vertical="center" wrapText="1"/>
    </xf>
    <xf numFmtId="44" fontId="17" fillId="0" borderId="54" xfId="3" applyNumberFormat="1" applyFont="1" applyBorder="1" applyAlignment="1" applyProtection="1">
      <alignment horizontal="left" vertical="center" wrapText="1"/>
    </xf>
    <xf numFmtId="44" fontId="18" fillId="0" borderId="22" xfId="1" applyNumberFormat="1" applyFont="1" applyBorder="1" applyAlignment="1" applyProtection="1">
      <alignment horizontal="left" vertical="center" wrapText="1"/>
    </xf>
    <xf numFmtId="0" fontId="17" fillId="0" borderId="42" xfId="0" applyFont="1" applyBorder="1" applyAlignment="1">
      <alignment horizontal="left" vertical="center" indent="1"/>
    </xf>
    <xf numFmtId="0" fontId="18" fillId="0" borderId="32" xfId="0" applyFont="1" applyBorder="1" applyAlignment="1">
      <alignment horizontal="left" vertical="center" indent="1"/>
    </xf>
    <xf numFmtId="0" fontId="17" fillId="0" borderId="46" xfId="0" applyFont="1" applyBorder="1" applyAlignment="1">
      <alignment horizontal="left" vertical="center" indent="1"/>
    </xf>
    <xf numFmtId="0" fontId="17" fillId="0" borderId="34" xfId="0" applyFont="1" applyBorder="1" applyAlignment="1">
      <alignment horizontal="left" vertical="center" indent="1"/>
    </xf>
    <xf numFmtId="168" fontId="6" fillId="0" borderId="1" xfId="3" applyNumberFormat="1" applyFont="1" applyFill="1" applyBorder="1" applyAlignment="1">
      <alignment horizontal="right" wrapText="1"/>
    </xf>
    <xf numFmtId="168" fontId="6" fillId="0" borderId="0" xfId="3" applyNumberFormat="1" applyFont="1" applyFill="1" applyBorder="1" applyAlignment="1">
      <alignment horizontal="right" wrapText="1"/>
    </xf>
    <xf numFmtId="167" fontId="6" fillId="0" borderId="1" xfId="1" applyFont="1" applyBorder="1" applyAlignment="1">
      <alignment horizontal="center" wrapText="1"/>
    </xf>
    <xf numFmtId="172" fontId="6" fillId="0" borderId="1" xfId="17" applyNumberFormat="1" applyBorder="1" applyAlignment="1">
      <alignment horizontal="center" vertical="center" wrapText="1"/>
    </xf>
    <xf numFmtId="177" fontId="17" fillId="0" borderId="34" xfId="3" applyNumberFormat="1" applyFont="1" applyBorder="1" applyAlignment="1">
      <alignment horizontal="center" vertical="center" wrapText="1"/>
    </xf>
    <xf numFmtId="49" fontId="17" fillId="0" borderId="23" xfId="17" applyNumberFormat="1" applyFont="1" applyBorder="1" applyAlignment="1">
      <alignment horizontal="center" vertical="center" wrapText="1"/>
    </xf>
    <xf numFmtId="49" fontId="7" fillId="0" borderId="0" xfId="17" applyNumberFormat="1" applyFont="1" applyAlignment="1">
      <alignment horizontal="left" vertical="center"/>
    </xf>
    <xf numFmtId="49" fontId="7" fillId="0" borderId="0" xfId="17" applyNumberFormat="1" applyFont="1" applyAlignment="1">
      <alignment horizontal="center" vertical="center"/>
    </xf>
    <xf numFmtId="180" fontId="18" fillId="0" borderId="36" xfId="17" applyNumberFormat="1" applyFont="1" applyBorder="1" applyAlignment="1">
      <alignment horizontal="center" vertical="center" wrapText="1"/>
    </xf>
    <xf numFmtId="0" fontId="17" fillId="0" borderId="14" xfId="17" applyFont="1" applyBorder="1" applyAlignment="1">
      <alignment horizontal="left" vertical="center" wrapText="1"/>
    </xf>
    <xf numFmtId="39" fontId="17" fillId="0" borderId="24" xfId="3" applyNumberFormat="1" applyFont="1" applyBorder="1" applyAlignment="1">
      <alignment horizontal="right" vertical="center" wrapText="1"/>
    </xf>
    <xf numFmtId="0" fontId="18" fillId="0" borderId="32" xfId="17" applyFont="1" applyBorder="1" applyAlignment="1">
      <alignment horizontal="left" vertical="center" indent="1"/>
    </xf>
    <xf numFmtId="0" fontId="18" fillId="0" borderId="55" xfId="17" applyFont="1" applyBorder="1" applyAlignment="1">
      <alignment vertical="center"/>
    </xf>
    <xf numFmtId="0" fontId="18" fillId="0" borderId="51" xfId="17" applyFont="1" applyBorder="1" applyAlignment="1">
      <alignment vertical="center"/>
    </xf>
    <xf numFmtId="180" fontId="17" fillId="0" borderId="5" xfId="17" applyNumberFormat="1" applyFont="1" applyBorder="1" applyAlignment="1">
      <alignment horizontal="center" vertical="center" wrapText="1"/>
    </xf>
    <xf numFmtId="0" fontId="17" fillId="0" borderId="13" xfId="17" applyFont="1" applyBorder="1" applyAlignment="1">
      <alignment horizontal="left" vertical="center" wrapText="1"/>
    </xf>
    <xf numFmtId="3" fontId="6" fillId="0" borderId="0" xfId="17" applyNumberFormat="1" applyAlignment="1">
      <alignment vertical="center" wrapText="1"/>
    </xf>
    <xf numFmtId="0" fontId="18" fillId="0" borderId="32" xfId="17" applyFont="1" applyBorder="1" applyAlignment="1">
      <alignment horizontal="center" vertical="center" wrapText="1"/>
    </xf>
    <xf numFmtId="0" fontId="18" fillId="0" borderId="51" xfId="17" applyFont="1" applyBorder="1" applyAlignment="1">
      <alignment horizontal="center" vertical="center" wrapText="1"/>
    </xf>
    <xf numFmtId="0" fontId="17" fillId="0" borderId="48" xfId="17" applyFont="1" applyBorder="1" applyAlignment="1">
      <alignment horizontal="left" vertical="center" indent="1"/>
    </xf>
    <xf numFmtId="0" fontId="17" fillId="0" borderId="56" xfId="17" applyFont="1" applyBorder="1" applyAlignment="1">
      <alignment vertical="center"/>
    </xf>
    <xf numFmtId="0" fontId="17" fillId="0" borderId="6" xfId="17" applyFont="1" applyBorder="1" applyAlignment="1">
      <alignment vertical="center"/>
    </xf>
    <xf numFmtId="44" fontId="6" fillId="0" borderId="0" xfId="17" applyNumberFormat="1" applyAlignment="1">
      <alignment vertical="center" wrapText="1"/>
    </xf>
    <xf numFmtId="169" fontId="0" fillId="0" borderId="0" xfId="7" applyNumberFormat="1" applyFont="1" applyAlignment="1">
      <alignment horizontal="left" vertical="center" wrapText="1" indent="1"/>
    </xf>
    <xf numFmtId="0" fontId="18" fillId="0" borderId="0" xfId="17" applyFont="1" applyAlignment="1">
      <alignment horizontal="left" vertical="center" indent="1"/>
    </xf>
    <xf numFmtId="0" fontId="18" fillId="0" borderId="0" xfId="17" applyFont="1" applyAlignment="1">
      <alignment vertical="center"/>
    </xf>
    <xf numFmtId="44" fontId="18" fillId="0" borderId="0" xfId="1" applyNumberFormat="1" applyFont="1" applyBorder="1" applyAlignment="1">
      <alignment horizontal="left" vertical="center" wrapText="1"/>
    </xf>
    <xf numFmtId="0" fontId="17" fillId="0" borderId="42" xfId="17" applyFont="1" applyBorder="1" applyAlignment="1">
      <alignment horizontal="center" vertical="center"/>
    </xf>
    <xf numFmtId="0" fontId="17" fillId="0" borderId="18" xfId="17" applyFont="1" applyBorder="1" applyAlignment="1">
      <alignment horizontal="center" vertical="center"/>
    </xf>
    <xf numFmtId="39" fontId="17" fillId="0" borderId="41" xfId="3" applyNumberFormat="1" applyFont="1" applyBorder="1" applyAlignment="1">
      <alignment horizontal="center" vertical="center" wrapText="1"/>
    </xf>
    <xf numFmtId="39" fontId="17" fillId="0" borderId="29" xfId="3" applyNumberFormat="1" applyFont="1" applyBorder="1" applyAlignment="1">
      <alignment horizontal="right" vertical="center" wrapText="1"/>
    </xf>
    <xf numFmtId="0" fontId="17" fillId="0" borderId="48" xfId="17" applyFont="1" applyBorder="1" applyAlignment="1">
      <alignment horizontal="center" vertical="center" wrapText="1"/>
    </xf>
    <xf numFmtId="0" fontId="17" fillId="0" borderId="56" xfId="17" applyFont="1" applyBorder="1" applyAlignment="1">
      <alignment horizontal="left" vertical="center" wrapText="1"/>
    </xf>
    <xf numFmtId="180" fontId="17" fillId="0" borderId="57" xfId="17" applyNumberFormat="1" applyFont="1" applyBorder="1" applyAlignment="1">
      <alignment horizontal="left" vertical="center" wrapText="1"/>
    </xf>
    <xf numFmtId="39" fontId="17" fillId="0" borderId="27" xfId="3" applyNumberFormat="1" applyFont="1" applyBorder="1" applyAlignment="1">
      <alignment horizontal="right" vertical="center" wrapText="1"/>
    </xf>
    <xf numFmtId="0" fontId="6" fillId="0" borderId="11" xfId="0" applyFont="1" applyBorder="1" applyAlignment="1">
      <alignment horizontal="center"/>
    </xf>
    <xf numFmtId="0" fontId="6" fillId="0" borderId="28" xfId="17" applyBorder="1" applyAlignment="1">
      <alignment horizontal="center" vertical="center" wrapText="1"/>
    </xf>
    <xf numFmtId="0" fontId="6" fillId="0" borderId="58" xfId="17" applyBorder="1" applyAlignment="1">
      <alignment vertical="center" wrapText="1"/>
    </xf>
    <xf numFmtId="0" fontId="6" fillId="0" borderId="40" xfId="17" applyBorder="1" applyAlignment="1">
      <alignment horizontal="center" vertical="center" wrapText="1"/>
    </xf>
    <xf numFmtId="0" fontId="6" fillId="0" borderId="11" xfId="17" applyBorder="1" applyAlignment="1">
      <alignment vertical="center" wrapText="1"/>
    </xf>
    <xf numFmtId="180" fontId="17" fillId="0" borderId="11" xfId="17" applyNumberFormat="1" applyFont="1" applyBorder="1" applyAlignment="1">
      <alignment horizontal="center" vertical="center" wrapText="1"/>
    </xf>
    <xf numFmtId="49" fontId="6" fillId="0" borderId="40" xfId="17" applyNumberFormat="1" applyBorder="1" applyAlignment="1">
      <alignment horizontal="center" vertical="center" wrapText="1"/>
    </xf>
    <xf numFmtId="0" fontId="7" fillId="0" borderId="0" xfId="0" applyFont="1" applyAlignment="1">
      <alignment horizontal="left" wrapText="1"/>
    </xf>
    <xf numFmtId="0" fontId="0" fillId="0" borderId="0" xfId="0" applyAlignment="1">
      <alignment horizontal="left" wrapText="1"/>
    </xf>
    <xf numFmtId="169" fontId="6" fillId="0" borderId="1" xfId="1" applyNumberFormat="1" applyFont="1" applyBorder="1" applyAlignment="1">
      <alignment vertical="center" wrapText="1"/>
    </xf>
    <xf numFmtId="10" fontId="6" fillId="0" borderId="1" xfId="17" applyNumberFormat="1" applyBorder="1" applyAlignment="1">
      <alignment vertical="center" wrapText="1"/>
    </xf>
    <xf numFmtId="4" fontId="17" fillId="0" borderId="1" xfId="15" applyNumberFormat="1" applyFont="1" applyBorder="1" applyAlignment="1">
      <alignment horizontal="right"/>
    </xf>
    <xf numFmtId="172" fontId="17" fillId="0" borderId="1" xfId="11" applyNumberFormat="1" applyFont="1" applyBorder="1"/>
    <xf numFmtId="177" fontId="17" fillId="0" borderId="0" xfId="0" applyNumberFormat="1" applyFont="1" applyAlignment="1">
      <alignment vertical="center"/>
    </xf>
    <xf numFmtId="0" fontId="17" fillId="0" borderId="0" xfId="0" applyFont="1" applyAlignment="1">
      <alignment vertical="center"/>
    </xf>
    <xf numFmtId="177" fontId="18" fillId="0" borderId="11" xfId="0" applyNumberFormat="1" applyFont="1" applyBorder="1" applyAlignment="1">
      <alignment horizontal="center" vertical="center" wrapText="1"/>
    </xf>
    <xf numFmtId="7" fontId="0" fillId="3" borderId="11" xfId="0" applyNumberFormat="1" applyFill="1" applyBorder="1" applyAlignment="1">
      <alignment horizontal="right"/>
    </xf>
    <xf numFmtId="177" fontId="0" fillId="3" borderId="11" xfId="0" applyNumberFormat="1" applyFill="1" applyBorder="1" applyAlignment="1">
      <alignment horizontal="right"/>
    </xf>
    <xf numFmtId="7" fontId="0" fillId="0" borderId="11" xfId="0" applyNumberFormat="1" applyBorder="1" applyAlignment="1">
      <alignment horizontal="right"/>
    </xf>
    <xf numFmtId="7" fontId="0" fillId="0" borderId="59" xfId="0" applyNumberFormat="1" applyBorder="1"/>
    <xf numFmtId="0" fontId="7" fillId="6" borderId="12" xfId="0" applyFont="1" applyFill="1" applyBorder="1" applyAlignment="1">
      <alignment horizontal="right" vertical="center" indent="1"/>
    </xf>
    <xf numFmtId="0" fontId="0" fillId="6" borderId="18" xfId="0" applyFill="1" applyBorder="1" applyAlignment="1">
      <alignment vertical="center"/>
    </xf>
    <xf numFmtId="0" fontId="7" fillId="6" borderId="11"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8" xfId="0" applyFont="1" applyFill="1" applyBorder="1" applyAlignment="1">
      <alignment horizontal="center" vertical="center"/>
    </xf>
    <xf numFmtId="0" fontId="6" fillId="0" borderId="60" xfId="0" applyFont="1" applyBorder="1" applyAlignment="1">
      <alignment horizontal="left" indent="1"/>
    </xf>
    <xf numFmtId="0" fontId="0" fillId="0" borderId="61" xfId="0" applyBorder="1"/>
    <xf numFmtId="7" fontId="6" fillId="0" borderId="62" xfId="0" applyNumberFormat="1" applyFont="1" applyBorder="1" applyAlignment="1" applyProtection="1">
      <alignment horizontal="center"/>
      <protection locked="0"/>
    </xf>
    <xf numFmtId="7" fontId="0" fillId="0" borderId="62" xfId="0" applyNumberFormat="1" applyBorder="1"/>
    <xf numFmtId="0" fontId="6" fillId="0" borderId="61" xfId="0" applyFont="1" applyBorder="1" applyAlignment="1">
      <alignment horizontal="left" indent="1"/>
    </xf>
    <xf numFmtId="0" fontId="6" fillId="0" borderId="63" xfId="0" applyFont="1" applyBorder="1" applyAlignment="1">
      <alignment horizontal="left"/>
    </xf>
    <xf numFmtId="0" fontId="6" fillId="0" borderId="61" xfId="0" applyFont="1" applyBorder="1" applyAlignment="1">
      <alignment horizontal="left"/>
    </xf>
    <xf numFmtId="0" fontId="6" fillId="0" borderId="64" xfId="0" applyFont="1" applyBorder="1" applyAlignment="1">
      <alignment horizontal="left" indent="1"/>
    </xf>
    <xf numFmtId="0" fontId="0" fillId="0" borderId="65" xfId="0" applyBorder="1"/>
    <xf numFmtId="177" fontId="6" fillId="0" borderId="59" xfId="0" applyNumberFormat="1" applyFont="1" applyBorder="1" applyAlignment="1" applyProtection="1">
      <alignment horizontal="center"/>
      <protection locked="0"/>
    </xf>
    <xf numFmtId="177" fontId="0" fillId="3" borderId="59" xfId="0" applyNumberFormat="1" applyFill="1" applyBorder="1"/>
    <xf numFmtId="0" fontId="0" fillId="0" borderId="65" xfId="0" applyBorder="1" applyAlignment="1">
      <alignment horizontal="left" indent="1"/>
    </xf>
    <xf numFmtId="0" fontId="0" fillId="0" borderId="64" xfId="0" applyBorder="1" applyAlignment="1">
      <alignment horizontal="left" indent="1"/>
    </xf>
    <xf numFmtId="0" fontId="0" fillId="0" borderId="66" xfId="0" applyBorder="1" applyAlignment="1">
      <alignment horizontal="left"/>
    </xf>
    <xf numFmtId="0" fontId="0" fillId="0" borderId="65" xfId="0" applyBorder="1" applyAlignment="1">
      <alignment horizontal="left"/>
    </xf>
    <xf numFmtId="7" fontId="6" fillId="0" borderId="59" xfId="0" applyNumberFormat="1" applyFont="1" applyBorder="1" applyAlignment="1" applyProtection="1">
      <alignment horizontal="center"/>
      <protection locked="0"/>
    </xf>
    <xf numFmtId="0" fontId="6" fillId="0" borderId="65" xfId="0" applyFont="1" applyBorder="1" applyAlignment="1">
      <alignment horizontal="left" indent="1"/>
    </xf>
    <xf numFmtId="0" fontId="6" fillId="0" borderId="66" xfId="0" applyFont="1" applyBorder="1" applyAlignment="1">
      <alignment horizontal="left"/>
    </xf>
    <xf numFmtId="0" fontId="6" fillId="0" borderId="65" xfId="0" applyFont="1" applyBorder="1" applyAlignment="1">
      <alignment horizontal="left"/>
    </xf>
    <xf numFmtId="0" fontId="6" fillId="0" borderId="67" xfId="0" applyFont="1" applyBorder="1" applyAlignment="1">
      <alignment horizontal="left" indent="1"/>
    </xf>
    <xf numFmtId="0" fontId="0" fillId="0" borderId="68" xfId="0" applyBorder="1"/>
    <xf numFmtId="177" fontId="6" fillId="0" borderId="69" xfId="0" applyNumberFormat="1" applyFont="1" applyBorder="1" applyAlignment="1" applyProtection="1">
      <alignment horizontal="center"/>
      <protection locked="0"/>
    </xf>
    <xf numFmtId="0" fontId="6" fillId="0" borderId="68" xfId="0" applyFont="1" applyBorder="1" applyAlignment="1">
      <alignment horizontal="left" indent="1"/>
    </xf>
    <xf numFmtId="0" fontId="6" fillId="0" borderId="70" xfId="0" applyFont="1" applyBorder="1" applyAlignment="1">
      <alignment horizontal="left"/>
    </xf>
    <xf numFmtId="0" fontId="6" fillId="0" borderId="68" xfId="0" applyFont="1" applyBorder="1" applyAlignment="1">
      <alignment horizontal="left"/>
    </xf>
    <xf numFmtId="7" fontId="0" fillId="0" borderId="59" xfId="0" applyNumberFormat="1" applyBorder="1" applyAlignment="1" applyProtection="1">
      <alignment horizontal="center"/>
      <protection locked="0"/>
    </xf>
    <xf numFmtId="7" fontId="0" fillId="0" borderId="69" xfId="0" applyNumberFormat="1" applyBorder="1" applyAlignment="1" applyProtection="1">
      <alignment horizontal="center"/>
      <protection locked="0"/>
    </xf>
    <xf numFmtId="7" fontId="0" fillId="0" borderId="69" xfId="0" applyNumberFormat="1" applyBorder="1"/>
    <xf numFmtId="0" fontId="0" fillId="0" borderId="68" xfId="0" applyBorder="1" applyAlignment="1">
      <alignment horizontal="left" indent="1"/>
    </xf>
    <xf numFmtId="0" fontId="0" fillId="0" borderId="71" xfId="0" applyBorder="1" applyAlignment="1">
      <alignment horizontal="left" indent="1"/>
    </xf>
    <xf numFmtId="0" fontId="0" fillId="0" borderId="72" xfId="0" applyBorder="1" applyAlignment="1">
      <alignment horizontal="left"/>
    </xf>
    <xf numFmtId="0" fontId="0" fillId="0" borderId="73" xfId="0" applyBorder="1" applyAlignment="1">
      <alignment horizontal="left"/>
    </xf>
    <xf numFmtId="177" fontId="17" fillId="7" borderId="1" xfId="3" applyNumberFormat="1" applyFont="1" applyFill="1" applyBorder="1" applyAlignment="1">
      <alignment wrapText="1"/>
    </xf>
    <xf numFmtId="177" fontId="17" fillId="7" borderId="1" xfId="0" applyNumberFormat="1" applyFont="1" applyFill="1" applyBorder="1"/>
    <xf numFmtId="0" fontId="0" fillId="7" borderId="14" xfId="0" applyFill="1" applyBorder="1" applyAlignment="1" applyProtection="1">
      <alignment wrapText="1"/>
      <protection locked="0"/>
    </xf>
    <xf numFmtId="0" fontId="6" fillId="7" borderId="14" xfId="0" applyFont="1" applyFill="1" applyBorder="1" applyAlignment="1" applyProtection="1">
      <alignment horizontal="center" wrapText="1"/>
      <protection locked="0"/>
    </xf>
    <xf numFmtId="177" fontId="17" fillId="0" borderId="0" xfId="0" applyNumberFormat="1" applyFont="1"/>
    <xf numFmtId="0" fontId="6" fillId="0" borderId="4" xfId="17" applyBorder="1"/>
    <xf numFmtId="0" fontId="7" fillId="0" borderId="11" xfId="17" applyFont="1" applyBorder="1" applyAlignment="1">
      <alignment horizontal="center" wrapText="1"/>
    </xf>
    <xf numFmtId="0" fontId="7" fillId="0" borderId="0" xfId="17" applyFont="1"/>
    <xf numFmtId="43" fontId="6" fillId="0" borderId="1" xfId="17" applyNumberFormat="1" applyBorder="1" applyAlignment="1">
      <alignment wrapText="1"/>
    </xf>
    <xf numFmtId="177" fontId="17" fillId="7" borderId="17" xfId="3" applyNumberFormat="1" applyFont="1" applyFill="1" applyBorder="1" applyAlignment="1">
      <alignment wrapText="1"/>
    </xf>
    <xf numFmtId="177" fontId="17" fillId="7" borderId="17" xfId="0" applyNumberFormat="1" applyFont="1" applyFill="1" applyBorder="1"/>
    <xf numFmtId="177" fontId="17" fillId="0" borderId="1" xfId="0" applyNumberFormat="1" applyFont="1" applyBorder="1"/>
    <xf numFmtId="43" fontId="6" fillId="0" borderId="1" xfId="17" applyNumberFormat="1" applyBorder="1" applyAlignment="1">
      <alignment vertical="center" wrapText="1"/>
    </xf>
    <xf numFmtId="177" fontId="17" fillId="7" borderId="1" xfId="1" applyNumberFormat="1" applyFont="1" applyFill="1" applyBorder="1" applyAlignment="1">
      <alignment wrapText="1"/>
    </xf>
    <xf numFmtId="43" fontId="6" fillId="0" borderId="0" xfId="17" applyNumberFormat="1" applyAlignment="1">
      <alignment vertical="center"/>
    </xf>
    <xf numFmtId="44" fontId="7" fillId="0" borderId="0" xfId="17" applyNumberFormat="1" applyFont="1" applyAlignment="1">
      <alignment vertical="center"/>
    </xf>
    <xf numFmtId="44" fontId="6" fillId="0" borderId="1" xfId="17" applyNumberFormat="1" applyBorder="1" applyAlignment="1">
      <alignment vertical="center"/>
    </xf>
    <xf numFmtId="181" fontId="17" fillId="0" borderId="37" xfId="3" applyNumberFormat="1" applyFont="1" applyBorder="1" applyAlignment="1">
      <alignment horizontal="right" vertical="center" wrapText="1"/>
    </xf>
    <xf numFmtId="181" fontId="6" fillId="0" borderId="0" xfId="17" applyNumberFormat="1" applyAlignment="1">
      <alignment vertical="center" wrapText="1"/>
    </xf>
    <xf numFmtId="177" fontId="6" fillId="0" borderId="0" xfId="17" applyNumberFormat="1" applyAlignment="1">
      <alignment vertical="center" wrapText="1"/>
    </xf>
    <xf numFmtId="0" fontId="7" fillId="0" borderId="0" xfId="0" applyFont="1" applyAlignment="1">
      <alignment horizontal="justify" vertical="center"/>
    </xf>
    <xf numFmtId="0" fontId="24" fillId="0" borderId="1" xfId="17" applyFont="1" applyBorder="1" applyAlignment="1">
      <alignment vertical="center" wrapText="1"/>
    </xf>
    <xf numFmtId="44" fontId="7" fillId="0" borderId="0" xfId="17" applyNumberFormat="1" applyFont="1" applyAlignment="1">
      <alignment horizontal="left" vertical="center" wrapText="1" indent="1"/>
    </xf>
    <xf numFmtId="182" fontId="7" fillId="0" borderId="0" xfId="17" applyNumberFormat="1" applyFont="1" applyAlignment="1">
      <alignment horizontal="center" vertical="center" wrapText="1"/>
    </xf>
    <xf numFmtId="172" fontId="6" fillId="0" borderId="1" xfId="17" applyNumberFormat="1" applyBorder="1" applyAlignment="1">
      <alignment vertical="center" wrapText="1"/>
    </xf>
    <xf numFmtId="4" fontId="6" fillId="0" borderId="1" xfId="1" applyNumberFormat="1" applyFont="1" applyBorder="1" applyAlignment="1">
      <alignment horizontal="center" vertical="center" wrapText="1"/>
    </xf>
    <xf numFmtId="4" fontId="6" fillId="0" borderId="1" xfId="17" applyNumberFormat="1" applyBorder="1" applyAlignment="1">
      <alignment horizontal="center" vertical="center" wrapText="1"/>
    </xf>
    <xf numFmtId="0" fontId="7" fillId="0" borderId="11" xfId="0" applyFont="1" applyBorder="1" applyAlignment="1">
      <alignment horizontal="left" vertical="center"/>
    </xf>
    <xf numFmtId="4" fontId="6" fillId="0" borderId="0" xfId="17" applyNumberFormat="1" applyAlignment="1">
      <alignment vertical="center"/>
    </xf>
    <xf numFmtId="9" fontId="17" fillId="0" borderId="1" xfId="15" applyNumberFormat="1" applyFont="1" applyBorder="1" applyAlignment="1">
      <alignment horizontal="right"/>
    </xf>
    <xf numFmtId="9" fontId="6" fillId="0" borderId="1" xfId="1" applyNumberFormat="1" applyFont="1" applyBorder="1" applyAlignment="1">
      <alignment wrapText="1"/>
    </xf>
    <xf numFmtId="44" fontId="18" fillId="0" borderId="54" xfId="3" applyNumberFormat="1" applyFont="1" applyBorder="1" applyAlignment="1">
      <alignment horizontal="left" vertical="center" wrapText="1"/>
    </xf>
    <xf numFmtId="0" fontId="7" fillId="0" borderId="2" xfId="17" applyFont="1" applyBorder="1" applyAlignment="1">
      <alignment horizontal="left" vertical="center" wrapText="1"/>
    </xf>
    <xf numFmtId="0" fontId="7" fillId="0" borderId="0" xfId="17" applyFont="1" applyAlignment="1">
      <alignment horizontal="left" vertical="top" wrapText="1"/>
    </xf>
    <xf numFmtId="0" fontId="7" fillId="0" borderId="12" xfId="17" applyFont="1" applyBorder="1" applyAlignment="1">
      <alignment horizontal="center" vertical="center" wrapText="1"/>
    </xf>
    <xf numFmtId="172" fontId="6" fillId="0" borderId="0" xfId="17" applyNumberFormat="1" applyAlignment="1">
      <alignment vertical="center"/>
    </xf>
    <xf numFmtId="0" fontId="6" fillId="0" borderId="15" xfId="17" applyBorder="1" applyAlignment="1">
      <alignment horizontal="left" vertical="center" wrapText="1"/>
    </xf>
    <xf numFmtId="0" fontId="6" fillId="0" borderId="14" xfId="17" applyBorder="1" applyAlignment="1">
      <alignment horizontal="left" vertical="center" wrapText="1"/>
    </xf>
    <xf numFmtId="0" fontId="6" fillId="0" borderId="14" xfId="17" applyBorder="1" applyAlignment="1">
      <alignment horizontal="left" vertical="center"/>
    </xf>
    <xf numFmtId="49" fontId="6" fillId="0" borderId="1" xfId="17" applyNumberFormat="1" applyBorder="1" applyAlignment="1">
      <alignment horizontal="left" vertical="center"/>
    </xf>
    <xf numFmtId="0" fontId="6" fillId="0" borderId="1" xfId="0" applyFont="1" applyBorder="1" applyAlignment="1">
      <alignment wrapText="1"/>
    </xf>
    <xf numFmtId="0" fontId="7" fillId="0" borderId="13" xfId="0" applyFont="1" applyBorder="1" applyAlignment="1">
      <alignment horizontal="left" vertical="center"/>
    </xf>
    <xf numFmtId="0" fontId="6" fillId="0" borderId="17" xfId="17" applyBorder="1" applyAlignment="1">
      <alignment horizontal="left" vertical="top"/>
    </xf>
    <xf numFmtId="0" fontId="7" fillId="0" borderId="17" xfId="17" applyFont="1" applyBorder="1" applyAlignment="1">
      <alignment horizontal="left" vertical="center" wrapText="1"/>
    </xf>
    <xf numFmtId="0" fontId="17" fillId="0" borderId="17" xfId="17" applyFont="1" applyBorder="1" applyAlignment="1">
      <alignment horizontal="left" vertical="center"/>
    </xf>
    <xf numFmtId="0" fontId="18" fillId="5" borderId="17" xfId="0" applyFont="1" applyFill="1" applyBorder="1" applyAlignment="1">
      <alignment horizontal="center" vertical="center"/>
    </xf>
    <xf numFmtId="168" fontId="6" fillId="0" borderId="1" xfId="3" applyNumberFormat="1" applyFont="1" applyBorder="1" applyAlignment="1">
      <alignment horizontal="center" vertical="center" wrapText="1"/>
    </xf>
    <xf numFmtId="0" fontId="6" fillId="0" borderId="17" xfId="17" applyBorder="1" applyAlignment="1">
      <alignment horizontal="center" vertical="center" wrapText="1"/>
    </xf>
    <xf numFmtId="0" fontId="0" fillId="0" borderId="0" xfId="0" applyAlignment="1">
      <alignment horizontal="center"/>
    </xf>
    <xf numFmtId="0" fontId="7" fillId="0" borderId="0" xfId="17" applyFont="1" applyAlignment="1">
      <alignment horizontal="right" vertical="top"/>
    </xf>
    <xf numFmtId="0" fontId="7" fillId="0" borderId="4" xfId="17" applyFont="1" applyBorder="1" applyAlignment="1">
      <alignment horizontal="right" vertical="top"/>
    </xf>
    <xf numFmtId="0" fontId="7" fillId="0" borderId="0" xfId="17" applyFont="1" applyAlignment="1">
      <alignment horizontal="left" vertical="top"/>
    </xf>
    <xf numFmtId="0" fontId="6" fillId="0" borderId="4" xfId="17" applyBorder="1" applyAlignment="1">
      <alignment horizontal="center" vertical="center"/>
    </xf>
    <xf numFmtId="0" fontId="7" fillId="0" borderId="2" xfId="17" applyFont="1" applyBorder="1" applyAlignment="1">
      <alignment horizontal="left" vertical="center" wrapText="1"/>
    </xf>
    <xf numFmtId="0" fontId="7" fillId="0" borderId="0" xfId="17" applyFont="1" applyAlignment="1">
      <alignment horizontal="left" vertical="center" wrapText="1"/>
    </xf>
    <xf numFmtId="0" fontId="7" fillId="0" borderId="5" xfId="17" applyFont="1" applyBorder="1" applyAlignment="1">
      <alignment horizontal="left" vertical="center" wrapText="1"/>
    </xf>
    <xf numFmtId="0" fontId="7" fillId="0" borderId="4" xfId="17" applyFont="1" applyBorder="1" applyAlignment="1">
      <alignment horizontal="left" vertical="center" wrapText="1"/>
    </xf>
    <xf numFmtId="0" fontId="7" fillId="0" borderId="7" xfId="17" applyFont="1" applyBorder="1" applyAlignment="1">
      <alignment horizontal="center" vertical="top" wrapText="1"/>
    </xf>
    <xf numFmtId="0" fontId="7" fillId="0" borderId="17" xfId="17" applyFont="1" applyBorder="1" applyAlignment="1">
      <alignment horizontal="center" vertical="top" wrapText="1"/>
    </xf>
    <xf numFmtId="0" fontId="7" fillId="0" borderId="16" xfId="17" applyFont="1" applyBorder="1" applyAlignment="1">
      <alignment horizontal="center" vertical="top" wrapText="1"/>
    </xf>
    <xf numFmtId="0" fontId="7" fillId="0" borderId="8" xfId="17" applyFont="1" applyBorder="1" applyAlignment="1">
      <alignment horizontal="left" vertical="center"/>
    </xf>
    <xf numFmtId="0" fontId="7" fillId="0" borderId="6" xfId="17" applyFont="1" applyBorder="1" applyAlignment="1">
      <alignment horizontal="left" vertical="center"/>
    </xf>
    <xf numFmtId="0" fontId="7" fillId="0" borderId="6" xfId="17" applyFont="1" applyBorder="1" applyAlignment="1">
      <alignment horizontal="right" vertical="top"/>
    </xf>
    <xf numFmtId="0" fontId="7" fillId="0" borderId="0" xfId="17" applyFont="1" applyAlignment="1">
      <alignment horizontal="right" vertical="center"/>
    </xf>
    <xf numFmtId="168" fontId="7" fillId="0" borderId="6" xfId="17" applyNumberFormat="1" applyFont="1" applyBorder="1" applyAlignment="1">
      <alignment horizontal="right" vertical="top"/>
    </xf>
    <xf numFmtId="0" fontId="7" fillId="0" borderId="7" xfId="17" applyFont="1" applyBorder="1" applyAlignment="1">
      <alignment horizontal="center" vertical="center" wrapText="1"/>
    </xf>
    <xf numFmtId="0" fontId="7" fillId="0" borderId="17" xfId="17" applyFont="1" applyBorder="1" applyAlignment="1">
      <alignment horizontal="center" vertical="center" wrapText="1"/>
    </xf>
    <xf numFmtId="0" fontId="7" fillId="0" borderId="16" xfId="17" applyFont="1" applyBorder="1" applyAlignment="1">
      <alignment horizontal="center" vertical="center" wrapText="1"/>
    </xf>
    <xf numFmtId="0" fontId="7" fillId="0" borderId="8" xfId="17" applyFont="1" applyBorder="1" applyAlignment="1">
      <alignment horizontal="left" vertical="center" wrapText="1"/>
    </xf>
    <xf numFmtId="0" fontId="7" fillId="0" borderId="6" xfId="17" applyFont="1" applyBorder="1" applyAlignment="1">
      <alignment horizontal="left" vertical="center" wrapText="1"/>
    </xf>
    <xf numFmtId="0" fontId="7" fillId="0" borderId="0" xfId="17" applyFont="1" applyAlignment="1">
      <alignment horizontal="right" vertical="center" wrapText="1"/>
    </xf>
    <xf numFmtId="0" fontId="7" fillId="0" borderId="0" xfId="17" applyFont="1" applyAlignment="1">
      <alignment horizontal="left" vertical="top" wrapText="1"/>
    </xf>
    <xf numFmtId="0" fontId="7" fillId="0" borderId="6" xfId="17" applyFont="1" applyBorder="1" applyAlignment="1">
      <alignment horizontal="center" vertical="top" wrapText="1"/>
    </xf>
    <xf numFmtId="0" fontId="7" fillId="0" borderId="0" xfId="17" applyFont="1" applyAlignment="1">
      <alignment horizontal="center" vertical="top" wrapText="1"/>
    </xf>
    <xf numFmtId="0" fontId="7" fillId="0" borderId="4" xfId="17" applyFont="1" applyBorder="1" applyAlignment="1">
      <alignment horizontal="center" vertical="top" wrapText="1"/>
    </xf>
    <xf numFmtId="0" fontId="6" fillId="0" borderId="2" xfId="17" applyBorder="1" applyAlignment="1">
      <alignment horizontal="left" vertical="center" wrapText="1"/>
    </xf>
    <xf numFmtId="0" fontId="6" fillId="0" borderId="0" xfId="17" applyAlignment="1">
      <alignment horizontal="left" vertical="center" wrapText="1"/>
    </xf>
    <xf numFmtId="0" fontId="6" fillId="0" borderId="17" xfId="17" applyBorder="1" applyAlignment="1">
      <alignment horizontal="left" vertical="center" wrapText="1"/>
    </xf>
    <xf numFmtId="49" fontId="7" fillId="0" borderId="0" xfId="17" applyNumberFormat="1" applyFont="1" applyAlignment="1">
      <alignment horizontal="center" vertical="center" wrapText="1"/>
    </xf>
    <xf numFmtId="0" fontId="7" fillId="0" borderId="0" xfId="17" applyFont="1" applyAlignment="1">
      <alignment horizontal="center" vertical="center" wrapText="1"/>
    </xf>
    <xf numFmtId="49" fontId="7" fillId="0" borderId="0" xfId="17" applyNumberFormat="1" applyFont="1" applyAlignment="1">
      <alignment horizontal="center" vertical="center"/>
    </xf>
    <xf numFmtId="49" fontId="7" fillId="0" borderId="33" xfId="17" applyNumberFormat="1" applyFont="1" applyBorder="1" applyAlignment="1">
      <alignment horizontal="left" vertical="center" wrapText="1"/>
    </xf>
    <xf numFmtId="0" fontId="6" fillId="0" borderId="8" xfId="17" applyBorder="1" applyAlignment="1">
      <alignment horizontal="left" vertical="center" wrapText="1"/>
    </xf>
    <xf numFmtId="0" fontId="6" fillId="0" borderId="6" xfId="17" applyBorder="1" applyAlignment="1">
      <alignment horizontal="left" vertical="center" wrapText="1"/>
    </xf>
    <xf numFmtId="0" fontId="6" fillId="0" borderId="7" xfId="17" applyBorder="1" applyAlignment="1">
      <alignment horizontal="left" vertical="center" wrapText="1"/>
    </xf>
    <xf numFmtId="0" fontId="7" fillId="0" borderId="12" xfId="17" applyFont="1" applyBorder="1" applyAlignment="1">
      <alignment horizontal="left" vertical="center"/>
    </xf>
    <xf numFmtId="0" fontId="7" fillId="0" borderId="13" xfId="17" applyFont="1" applyBorder="1" applyAlignment="1">
      <alignment horizontal="left" vertical="center"/>
    </xf>
    <xf numFmtId="0" fontId="7" fillId="0" borderId="18" xfId="17" applyFont="1" applyBorder="1" applyAlignment="1">
      <alignment horizontal="left" vertical="center"/>
    </xf>
    <xf numFmtId="0" fontId="7" fillId="0" borderId="6" xfId="17" applyFont="1" applyBorder="1" applyAlignment="1">
      <alignment horizontal="center" vertical="top"/>
    </xf>
    <xf numFmtId="0" fontId="7" fillId="0" borderId="0" xfId="17" applyFont="1" applyAlignment="1">
      <alignment horizontal="center" vertical="top"/>
    </xf>
    <xf numFmtId="0" fontId="7" fillId="0" borderId="4" xfId="17" applyFont="1" applyBorder="1" applyAlignment="1">
      <alignment horizontal="center" vertical="top"/>
    </xf>
    <xf numFmtId="0" fontId="7" fillId="0" borderId="7" xfId="17" applyFont="1" applyBorder="1" applyAlignment="1">
      <alignment horizontal="center" vertical="top"/>
    </xf>
    <xf numFmtId="0" fontId="7" fillId="0" borderId="17" xfId="17" applyFont="1" applyBorder="1" applyAlignment="1">
      <alignment horizontal="center" vertical="top"/>
    </xf>
    <xf numFmtId="0" fontId="7" fillId="0" borderId="16" xfId="17" applyFont="1" applyBorder="1" applyAlignment="1">
      <alignment horizontal="center" vertical="top"/>
    </xf>
    <xf numFmtId="0" fontId="17" fillId="0" borderId="32" xfId="17" applyFont="1" applyBorder="1" applyAlignment="1">
      <alignment horizontal="left" vertical="center"/>
    </xf>
    <xf numFmtId="0" fontId="17" fillId="0" borderId="55" xfId="17" applyFont="1" applyBorder="1" applyAlignment="1">
      <alignment horizontal="left" vertical="center"/>
    </xf>
    <xf numFmtId="0" fontId="17" fillId="0" borderId="51" xfId="17" applyFont="1" applyBorder="1" applyAlignment="1">
      <alignment horizontal="left" vertical="center"/>
    </xf>
    <xf numFmtId="0" fontId="18" fillId="0" borderId="32" xfId="17" applyFont="1" applyBorder="1" applyAlignment="1">
      <alignment horizontal="left" vertical="center"/>
    </xf>
    <xf numFmtId="0" fontId="18" fillId="0" borderId="55" xfId="17" applyFont="1" applyBorder="1" applyAlignment="1">
      <alignment horizontal="left" vertical="center"/>
    </xf>
    <xf numFmtId="0" fontId="18" fillId="0" borderId="51" xfId="17" applyFont="1" applyBorder="1" applyAlignment="1">
      <alignment horizontal="left" vertical="center"/>
    </xf>
    <xf numFmtId="0" fontId="18" fillId="0" borderId="0" xfId="17" applyFont="1" applyAlignment="1">
      <alignment horizontal="left" vertical="top" wrapText="1" indent="1"/>
    </xf>
    <xf numFmtId="0" fontId="18" fillId="0" borderId="0" xfId="17" applyFont="1" applyAlignment="1">
      <alignment horizontal="left" vertical="top" indent="1"/>
    </xf>
    <xf numFmtId="0" fontId="21" fillId="0" borderId="0" xfId="17" applyFont="1" applyAlignment="1">
      <alignment horizontal="center" vertical="center"/>
    </xf>
    <xf numFmtId="0" fontId="22" fillId="0" borderId="0" xfId="17" applyFont="1" applyAlignment="1">
      <alignment horizontal="center" vertical="top" wrapText="1"/>
    </xf>
    <xf numFmtId="0" fontId="17" fillId="0" borderId="38" xfId="17" applyFont="1" applyBorder="1" applyAlignment="1">
      <alignment horizontal="left" vertical="center"/>
    </xf>
    <xf numFmtId="0" fontId="17" fillId="0" borderId="74" xfId="17" applyFont="1" applyBorder="1" applyAlignment="1">
      <alignment horizontal="left" vertical="center"/>
    </xf>
    <xf numFmtId="0" fontId="17" fillId="0" borderId="42" xfId="17" applyFont="1" applyBorder="1" applyAlignment="1">
      <alignment horizontal="left" vertical="center"/>
    </xf>
    <xf numFmtId="0" fontId="17" fillId="0" borderId="18" xfId="17" applyFont="1" applyBorder="1" applyAlignment="1">
      <alignment horizontal="left" vertical="center"/>
    </xf>
    <xf numFmtId="0" fontId="17" fillId="0" borderId="32" xfId="17" applyFont="1" applyBorder="1" applyAlignment="1">
      <alignment horizontal="left" vertical="center" wrapText="1"/>
    </xf>
    <xf numFmtId="0" fontId="17" fillId="0" borderId="55" xfId="17" applyFont="1" applyBorder="1" applyAlignment="1">
      <alignment horizontal="left" vertical="center" wrapText="1"/>
    </xf>
    <xf numFmtId="0" fontId="17" fillId="0" borderId="51" xfId="17" applyFont="1" applyBorder="1" applyAlignment="1">
      <alignment horizontal="left" vertical="center" wrapText="1"/>
    </xf>
    <xf numFmtId="0" fontId="21" fillId="0" borderId="11" xfId="0" applyFont="1" applyBorder="1" applyAlignment="1">
      <alignment horizontal="left" vertical="center" wrapText="1"/>
    </xf>
    <xf numFmtId="0" fontId="6" fillId="0" borderId="0" xfId="17" applyAlignment="1">
      <alignment horizontal="center" vertical="center" wrapText="1"/>
    </xf>
    <xf numFmtId="0" fontId="17" fillId="0" borderId="42" xfId="17" applyFont="1" applyBorder="1" applyAlignment="1">
      <alignment horizontal="left" vertical="center" wrapText="1"/>
    </xf>
    <xf numFmtId="0" fontId="17" fillId="0" borderId="18" xfId="17" applyFont="1" applyBorder="1" applyAlignment="1">
      <alignment horizontal="left" vertical="center" wrapText="1"/>
    </xf>
    <xf numFmtId="0" fontId="17" fillId="0" borderId="46" xfId="17" applyFont="1" applyBorder="1" applyAlignment="1">
      <alignment horizontal="left" vertical="center" wrapText="1"/>
    </xf>
    <xf numFmtId="0" fontId="17" fillId="0" borderId="7" xfId="17" applyFont="1" applyBorder="1" applyAlignment="1">
      <alignment horizontal="left" vertical="center" wrapText="1"/>
    </xf>
    <xf numFmtId="0" fontId="18" fillId="0" borderId="32" xfId="17" applyFont="1" applyBorder="1" applyAlignment="1">
      <alignment horizontal="left" vertical="center" wrapText="1"/>
    </xf>
    <xf numFmtId="0" fontId="18" fillId="0" borderId="51" xfId="17" applyFont="1" applyBorder="1" applyAlignment="1">
      <alignment horizontal="left" vertical="center" wrapText="1"/>
    </xf>
    <xf numFmtId="0" fontId="6" fillId="0" borderId="0" xfId="17" applyAlignment="1">
      <alignment horizontal="left" vertical="top" wrapText="1"/>
    </xf>
    <xf numFmtId="177" fontId="17" fillId="0" borderId="44" xfId="3" applyNumberFormat="1" applyFont="1" applyBorder="1" applyAlignment="1">
      <alignment horizontal="center" vertical="center" wrapText="1"/>
    </xf>
    <xf numFmtId="177" fontId="17" fillId="0" borderId="45" xfId="3" applyNumberFormat="1" applyFont="1" applyBorder="1" applyAlignment="1">
      <alignment horizontal="center" vertical="center" wrapText="1"/>
    </xf>
    <xf numFmtId="177" fontId="17" fillId="0" borderId="47" xfId="3" applyNumberFormat="1" applyFont="1" applyBorder="1" applyAlignment="1">
      <alignment horizontal="center" vertical="center" wrapText="1"/>
    </xf>
    <xf numFmtId="0" fontId="17" fillId="0" borderId="42" xfId="0" applyFont="1" applyBorder="1" applyAlignment="1">
      <alignment horizontal="left" vertical="center" wrapText="1"/>
    </xf>
    <xf numFmtId="0" fontId="17" fillId="0" borderId="18" xfId="0" applyFont="1" applyBorder="1" applyAlignment="1">
      <alignment horizontal="left" vertical="center" wrapText="1"/>
    </xf>
    <xf numFmtId="0" fontId="17" fillId="0" borderId="46" xfId="0" applyFont="1" applyBorder="1" applyAlignment="1">
      <alignment horizontal="left" vertical="center" wrapText="1"/>
    </xf>
    <xf numFmtId="0" fontId="17" fillId="0" borderId="7" xfId="0" applyFont="1" applyBorder="1" applyAlignment="1">
      <alignment horizontal="left" vertical="center" wrapText="1"/>
    </xf>
    <xf numFmtId="0" fontId="18" fillId="0" borderId="32" xfId="0" applyFont="1" applyBorder="1" applyAlignment="1">
      <alignment horizontal="left" vertical="center" wrapText="1"/>
    </xf>
    <xf numFmtId="0" fontId="18" fillId="0" borderId="51" xfId="0" applyFont="1" applyBorder="1" applyAlignment="1">
      <alignment horizontal="left" vertical="center" wrapText="1"/>
    </xf>
    <xf numFmtId="49" fontId="7" fillId="0" borderId="12" xfId="17" applyNumberFormat="1" applyFont="1" applyBorder="1" applyAlignment="1">
      <alignment horizontal="center" vertical="center"/>
    </xf>
    <xf numFmtId="49" fontId="7" fillId="0" borderId="13" xfId="17" applyNumberFormat="1" applyFont="1" applyBorder="1" applyAlignment="1">
      <alignment horizontal="center" vertical="center"/>
    </xf>
    <xf numFmtId="49" fontId="7" fillId="0" borderId="18" xfId="17" applyNumberFormat="1" applyFont="1" applyBorder="1" applyAlignment="1">
      <alignment horizontal="center" vertical="center"/>
    </xf>
    <xf numFmtId="0" fontId="7" fillId="0" borderId="12" xfId="17" applyFont="1" applyBorder="1" applyAlignment="1">
      <alignment horizontal="center" vertical="center" wrapText="1"/>
    </xf>
    <xf numFmtId="0" fontId="7" fillId="0" borderId="13" xfId="17" applyFont="1" applyBorder="1" applyAlignment="1">
      <alignment horizontal="center" vertical="center" wrapText="1"/>
    </xf>
    <xf numFmtId="0" fontId="7" fillId="0" borderId="18" xfId="17" applyFont="1" applyBorder="1" applyAlignment="1">
      <alignment horizontal="center" vertical="center" wrapText="1"/>
    </xf>
    <xf numFmtId="172" fontId="7" fillId="0" borderId="6" xfId="17" applyNumberFormat="1" applyFont="1" applyBorder="1" applyAlignment="1">
      <alignment horizontal="right" vertical="center" wrapText="1"/>
    </xf>
    <xf numFmtId="172" fontId="7" fillId="0" borderId="7" xfId="17" applyNumberFormat="1" applyFont="1" applyBorder="1" applyAlignment="1">
      <alignment horizontal="right" vertical="center" wrapText="1"/>
    </xf>
    <xf numFmtId="172" fontId="6" fillId="0" borderId="8" xfId="17" applyNumberFormat="1" applyBorder="1" applyAlignment="1">
      <alignment horizontal="left" vertical="center" wrapText="1"/>
    </xf>
    <xf numFmtId="0" fontId="6" fillId="0" borderId="8" xfId="17" applyBorder="1" applyAlignment="1">
      <alignment horizontal="center" vertical="center" wrapText="1"/>
    </xf>
    <xf numFmtId="0" fontId="6" fillId="0" borderId="6" xfId="17" applyBorder="1" applyAlignment="1">
      <alignment horizontal="center" vertical="center" wrapText="1"/>
    </xf>
    <xf numFmtId="0" fontId="6" fillId="0" borderId="7" xfId="17" applyBorder="1" applyAlignment="1">
      <alignment horizontal="center" vertical="center" wrapText="1"/>
    </xf>
    <xf numFmtId="172" fontId="7" fillId="0" borderId="6" xfId="17" applyNumberFormat="1" applyFont="1" applyBorder="1" applyAlignment="1">
      <alignment horizontal="center" vertical="center" wrapText="1"/>
    </xf>
    <xf numFmtId="172" fontId="7" fillId="0" borderId="7" xfId="17" applyNumberFormat="1" applyFont="1" applyBorder="1" applyAlignment="1">
      <alignment horizontal="center" vertical="center" wrapText="1"/>
    </xf>
    <xf numFmtId="168" fontId="7" fillId="0" borderId="12" xfId="1" applyNumberFormat="1" applyFont="1" applyBorder="1" applyAlignment="1">
      <alignment horizontal="right" vertical="center" wrapText="1"/>
    </xf>
    <xf numFmtId="168" fontId="7" fillId="0" borderId="18" xfId="1" applyNumberFormat="1" applyFont="1" applyBorder="1" applyAlignment="1">
      <alignment horizontal="right" vertical="center" wrapText="1"/>
    </xf>
    <xf numFmtId="0" fontId="6" fillId="0" borderId="5" xfId="17" applyBorder="1" applyAlignment="1">
      <alignment horizontal="left" vertical="center" wrapText="1"/>
    </xf>
    <xf numFmtId="0" fontId="6" fillId="0" borderId="4" xfId="17" applyBorder="1" applyAlignment="1">
      <alignment horizontal="left" vertical="center" wrapText="1"/>
    </xf>
    <xf numFmtId="0" fontId="6" fillId="0" borderId="16" xfId="17" applyBorder="1" applyAlignment="1">
      <alignment horizontal="left" vertical="center" wrapText="1"/>
    </xf>
    <xf numFmtId="0" fontId="7" fillId="0" borderId="4" xfId="17" applyFont="1" applyBorder="1" applyAlignment="1">
      <alignment horizontal="center" vertical="center" wrapText="1"/>
    </xf>
    <xf numFmtId="44" fontId="7" fillId="0" borderId="8" xfId="1" applyNumberFormat="1" applyFont="1" applyBorder="1" applyAlignment="1">
      <alignment horizontal="center" vertical="center" wrapText="1"/>
    </xf>
    <xf numFmtId="44" fontId="7" fillId="0" borderId="7" xfId="1" applyNumberFormat="1" applyFont="1" applyBorder="1" applyAlignment="1">
      <alignment horizontal="center" vertical="center" wrapText="1"/>
    </xf>
    <xf numFmtId="0" fontId="7" fillId="0" borderId="12" xfId="17" applyFont="1" applyBorder="1" applyAlignment="1">
      <alignment horizontal="center" vertical="center"/>
    </xf>
    <xf numFmtId="0" fontId="7" fillId="0" borderId="13" xfId="17" applyFont="1" applyBorder="1" applyAlignment="1">
      <alignment horizontal="center" vertical="center"/>
    </xf>
    <xf numFmtId="0" fontId="7" fillId="0" borderId="18" xfId="17" applyFont="1" applyBorder="1" applyAlignment="1">
      <alignment horizontal="center" vertical="center"/>
    </xf>
    <xf numFmtId="44" fontId="7" fillId="0" borderId="6" xfId="1" applyNumberFormat="1" applyFont="1" applyBorder="1" applyAlignment="1">
      <alignment horizontal="center" vertical="center" wrapText="1"/>
    </xf>
    <xf numFmtId="44" fontId="7" fillId="0" borderId="6" xfId="17" applyNumberFormat="1" applyFont="1" applyBorder="1" applyAlignment="1">
      <alignment horizontal="center" vertical="center" wrapText="1"/>
    </xf>
    <xf numFmtId="44" fontId="7" fillId="0" borderId="7" xfId="17" applyNumberFormat="1" applyFont="1" applyBorder="1" applyAlignment="1">
      <alignment horizontal="center" vertical="center" wrapText="1"/>
    </xf>
    <xf numFmtId="44" fontId="7" fillId="0" borderId="0" xfId="17" applyNumberFormat="1" applyFont="1" applyAlignment="1">
      <alignment horizontal="center" vertical="center" wrapText="1"/>
    </xf>
    <xf numFmtId="44" fontId="7" fillId="0" borderId="17" xfId="17" applyNumberFormat="1" applyFont="1" applyBorder="1" applyAlignment="1">
      <alignment horizontal="center" vertical="center" wrapText="1"/>
    </xf>
    <xf numFmtId="168" fontId="6" fillId="0" borderId="12" xfId="1" applyNumberFormat="1" applyFont="1" applyBorder="1" applyAlignment="1">
      <alignment horizontal="right" vertical="center" wrapText="1"/>
    </xf>
    <xf numFmtId="168" fontId="6" fillId="0" borderId="18" xfId="1" applyNumberFormat="1" applyFont="1" applyBorder="1" applyAlignment="1">
      <alignment horizontal="right" vertical="center" wrapText="1"/>
    </xf>
    <xf numFmtId="0" fontId="6" fillId="0" borderId="12" xfId="17" applyBorder="1" applyAlignment="1">
      <alignment horizontal="left" vertical="center"/>
    </xf>
    <xf numFmtId="0" fontId="6" fillId="0" borderId="13" xfId="17" applyBorder="1" applyAlignment="1">
      <alignment horizontal="left" vertical="center"/>
    </xf>
    <xf numFmtId="0" fontId="22" fillId="0" borderId="0" xfId="17" applyFont="1" applyAlignment="1">
      <alignment horizontal="center" vertical="center" wrapText="1"/>
    </xf>
    <xf numFmtId="0" fontId="18" fillId="0" borderId="0" xfId="17" applyFont="1" applyAlignment="1">
      <alignment horizontal="left" vertical="center" wrapText="1"/>
    </xf>
    <xf numFmtId="168" fontId="7" fillId="0" borderId="13" xfId="1" applyNumberFormat="1" applyFont="1" applyBorder="1" applyAlignment="1">
      <alignment horizontal="right" vertical="center" wrapText="1"/>
    </xf>
    <xf numFmtId="0" fontId="7" fillId="0" borderId="2" xfId="17" applyFont="1" applyBorder="1" applyAlignment="1">
      <alignment horizontal="left" vertical="center"/>
    </xf>
    <xf numFmtId="0" fontId="7" fillId="0" borderId="0" xfId="17" applyFont="1" applyAlignment="1">
      <alignment horizontal="left" vertical="center"/>
    </xf>
    <xf numFmtId="0" fontId="7" fillId="0" borderId="5" xfId="17" applyFont="1" applyBorder="1" applyAlignment="1">
      <alignment horizontal="left" vertical="center"/>
    </xf>
    <xf numFmtId="0" fontId="7" fillId="0" borderId="4" xfId="17" applyFont="1" applyBorder="1" applyAlignment="1">
      <alignment horizontal="left" vertical="center"/>
    </xf>
    <xf numFmtId="0" fontId="18" fillId="0" borderId="0" xfId="17" applyFont="1" applyAlignment="1">
      <alignment horizontal="right" vertical="center"/>
    </xf>
    <xf numFmtId="0" fontId="18" fillId="0" borderId="7" xfId="17" applyFont="1" applyBorder="1" applyAlignment="1">
      <alignment horizontal="center" vertical="center" wrapText="1"/>
    </xf>
    <xf numFmtId="0" fontId="18" fillId="0" borderId="17" xfId="17" applyFont="1" applyBorder="1" applyAlignment="1">
      <alignment horizontal="center" vertical="center" wrapText="1"/>
    </xf>
    <xf numFmtId="0" fontId="18" fillId="0" borderId="16" xfId="17" applyFont="1" applyBorder="1" applyAlignment="1">
      <alignment horizontal="center" vertical="center" wrapText="1"/>
    </xf>
    <xf numFmtId="0" fontId="18" fillId="0" borderId="8" xfId="17" applyFont="1" applyBorder="1" applyAlignment="1">
      <alignment horizontal="left" vertical="center"/>
    </xf>
    <xf numFmtId="0" fontId="18" fillId="0" borderId="6" xfId="17" applyFont="1" applyBorder="1" applyAlignment="1">
      <alignment horizontal="left" vertical="center"/>
    </xf>
    <xf numFmtId="0" fontId="18" fillId="0" borderId="2" xfId="17" applyFont="1" applyBorder="1" applyAlignment="1">
      <alignment horizontal="left" vertical="center"/>
    </xf>
    <xf numFmtId="0" fontId="18" fillId="0" borderId="0" xfId="17" applyFont="1" applyAlignment="1">
      <alignment horizontal="left" vertical="center"/>
    </xf>
    <xf numFmtId="0" fontId="18" fillId="0" borderId="5" xfId="17" applyFont="1" applyBorder="1" applyAlignment="1">
      <alignment horizontal="left" vertical="center"/>
    </xf>
    <xf numFmtId="0" fontId="18" fillId="0" borderId="4" xfId="17" applyFont="1" applyBorder="1" applyAlignment="1">
      <alignment horizontal="left" vertical="center"/>
    </xf>
  </cellXfs>
  <cellStyles count="25">
    <cellStyle name="A_Amount" xfId="11" xr:uid="{00000000-0005-0000-0000-000000000000}"/>
    <cellStyle name="Comma" xfId="1" builtinId="3"/>
    <cellStyle name="Comma 13" xfId="21" xr:uid="{00000000-0005-0000-0000-000002000000}"/>
    <cellStyle name="Comma 2" xfId="14" xr:uid="{00000000-0005-0000-0000-000003000000}"/>
    <cellStyle name="Comma 2 2" xfId="16" xr:uid="{00000000-0005-0000-0000-000004000000}"/>
    <cellStyle name="Comma 2 2 2" xfId="18" xr:uid="{00000000-0005-0000-0000-000005000000}"/>
    <cellStyle name="Comma 3" xfId="15" xr:uid="{00000000-0005-0000-0000-000006000000}"/>
    <cellStyle name="Comma 3 2" xfId="19" xr:uid="{00000000-0005-0000-0000-000007000000}"/>
    <cellStyle name="Comma0" xfId="2" xr:uid="{00000000-0005-0000-0000-000008000000}"/>
    <cellStyle name="Currency" xfId="3" builtinId="4"/>
    <cellStyle name="Currency 2" xfId="4" xr:uid="{00000000-0005-0000-0000-00000A000000}"/>
    <cellStyle name="Currency 2 2" xfId="23" xr:uid="{61B89A52-1E64-4C06-97C7-490C83149D68}"/>
    <cellStyle name="Normal" xfId="0" builtinId="0"/>
    <cellStyle name="Normal 10" xfId="10" xr:uid="{00000000-0005-0000-0000-00000C000000}"/>
    <cellStyle name="Normal 13" xfId="17" xr:uid="{00000000-0005-0000-0000-00000D000000}"/>
    <cellStyle name="Normal 18" xfId="20" xr:uid="{00000000-0005-0000-0000-00000E000000}"/>
    <cellStyle name="Normal 2" xfId="5" xr:uid="{00000000-0005-0000-0000-00000F000000}"/>
    <cellStyle name="Normal 2 2" xfId="12" xr:uid="{00000000-0005-0000-0000-000010000000}"/>
    <cellStyle name="Normal 2 3" xfId="13" xr:uid="{00000000-0005-0000-0000-000011000000}"/>
    <cellStyle name="Normal 4" xfId="8" xr:uid="{00000000-0005-0000-0000-000012000000}"/>
    <cellStyle name="Normal 4 2" xfId="24" xr:uid="{4174541D-E1E9-47B9-8EB3-B92607C33DE2}"/>
    <cellStyle name="Normal 5" xfId="22" xr:uid="{00000000-0005-0000-0000-000013000000}"/>
    <cellStyle name="OPSKRIF" xfId="6" xr:uid="{00000000-0005-0000-0000-000015000000}"/>
    <cellStyle name="or" xfId="9" xr:uid="{00000000-0005-0000-0000-000016000000}"/>
    <cellStyle name="Percent" xfId="7"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trlProps/ctrlProp1.xml><?xml version="1.0" encoding="utf-8"?>
<formControlPr xmlns="http://schemas.microsoft.com/office/spreadsheetml/2009/9/main" objectType="CheckBox" fmlaLink="$C$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6</xdr:row>
          <xdr:rowOff>106680</xdr:rowOff>
        </xdr:from>
        <xdr:to>
          <xdr:col>2</xdr:col>
          <xdr:colOff>106680</xdr:colOff>
          <xdr:row>8</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ZA" sz="800" b="0" i="0" u="none" strike="noStrike" baseline="0">
                  <a:solidFill>
                    <a:srgbClr val="000000"/>
                  </a:solidFill>
                  <a:latin typeface="Segoe UI"/>
                  <a:cs typeface="Segoe UI"/>
                </a:rPr>
                <a:t>Show Pricing in BoQ</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BB00-DE91-46BB-B28A-AC7AD9F40A9F}">
  <sheetPr codeName="Sheet1"/>
  <dimension ref="B2:N68"/>
  <sheetViews>
    <sheetView zoomScaleNormal="100" workbookViewId="0">
      <selection activeCell="D21" sqref="D21"/>
    </sheetView>
  </sheetViews>
  <sheetFormatPr defaultRowHeight="13.2" x14ac:dyDescent="0.25"/>
  <cols>
    <col min="2" max="2" width="18.33203125" bestFit="1" customWidth="1"/>
    <col min="3" max="4" width="43.6640625" customWidth="1"/>
    <col min="5" max="5" width="12.33203125" bestFit="1" customWidth="1"/>
  </cols>
  <sheetData>
    <row r="2" spans="2:8" ht="12" customHeight="1" x14ac:dyDescent="0.25">
      <c r="B2" s="103" t="s">
        <v>656</v>
      </c>
      <c r="C2" s="148" t="s">
        <v>9</v>
      </c>
    </row>
    <row r="3" spans="2:8" x14ac:dyDescent="0.25">
      <c r="B3" s="103" t="s">
        <v>657</v>
      </c>
      <c r="C3" s="149" t="s">
        <v>10</v>
      </c>
    </row>
    <row r="4" spans="2:8" x14ac:dyDescent="0.25">
      <c r="C4" s="103"/>
      <c r="H4" s="495"/>
    </row>
    <row r="5" spans="2:8" x14ac:dyDescent="0.25">
      <c r="B5" s="103" t="s">
        <v>958</v>
      </c>
      <c r="C5" s="150" t="s">
        <v>1599</v>
      </c>
      <c r="D5" s="103"/>
      <c r="E5" s="103"/>
      <c r="F5" s="103"/>
      <c r="G5" s="103"/>
      <c r="H5" s="495"/>
    </row>
    <row r="6" spans="2:8" ht="52.8" x14ac:dyDescent="0.25">
      <c r="B6" s="103" t="s">
        <v>959</v>
      </c>
      <c r="C6" s="150" t="s">
        <v>1513</v>
      </c>
      <c r="D6" s="103"/>
      <c r="E6" s="103"/>
      <c r="F6" s="103"/>
      <c r="G6" s="103"/>
      <c r="H6" s="495"/>
    </row>
    <row r="7" spans="2:8" x14ac:dyDescent="0.25">
      <c r="B7" s="103"/>
      <c r="C7" s="103"/>
      <c r="D7" s="103"/>
      <c r="E7" s="103"/>
      <c r="F7" s="103"/>
      <c r="G7" s="103"/>
      <c r="H7" s="495"/>
    </row>
    <row r="8" spans="2:8" x14ac:dyDescent="0.25">
      <c r="C8" t="b">
        <v>0</v>
      </c>
    </row>
    <row r="10" spans="2:8" x14ac:dyDescent="0.25">
      <c r="B10" s="173" t="s">
        <v>1054</v>
      </c>
    </row>
    <row r="11" spans="2:8" x14ac:dyDescent="0.25">
      <c r="B11" s="174" t="s">
        <v>1055</v>
      </c>
      <c r="C11" s="175">
        <v>39</v>
      </c>
    </row>
    <row r="12" spans="2:8" ht="13.8" thickBot="1" x14ac:dyDescent="0.3"/>
    <row r="13" spans="2:8" ht="13.8" thickBot="1" x14ac:dyDescent="0.3">
      <c r="B13" s="176" t="s">
        <v>1056</v>
      </c>
      <c r="C13" s="177">
        <v>18</v>
      </c>
      <c r="D13" s="178" t="s">
        <v>1057</v>
      </c>
    </row>
    <row r="14" spans="2:8" ht="13.8" thickBot="1" x14ac:dyDescent="0.3">
      <c r="B14" s="179" t="s">
        <v>1058</v>
      </c>
      <c r="C14" s="180" t="s">
        <v>1059</v>
      </c>
      <c r="D14" s="180" t="s">
        <v>1060</v>
      </c>
      <c r="E14" s="181" t="s">
        <v>1061</v>
      </c>
    </row>
    <row r="15" spans="2:8" x14ac:dyDescent="0.25">
      <c r="B15" s="182"/>
      <c r="C15" s="183"/>
      <c r="D15" s="184"/>
      <c r="E15" s="185">
        <f>D15-C15</f>
        <v>0</v>
      </c>
    </row>
    <row r="16" spans="2:8" ht="13.8" thickBot="1" x14ac:dyDescent="0.3">
      <c r="B16" s="186"/>
      <c r="C16" s="187"/>
      <c r="D16" s="188"/>
      <c r="E16" s="189">
        <f>D16-C16</f>
        <v>0</v>
      </c>
    </row>
    <row r="17" spans="2:5" ht="13.8" thickBot="1" x14ac:dyDescent="0.3">
      <c r="B17" s="190" t="s">
        <v>1062</v>
      </c>
      <c r="C17" s="191" t="s">
        <v>1063</v>
      </c>
      <c r="D17" s="192" t="s">
        <v>1063</v>
      </c>
      <c r="E17" s="193">
        <f>SUM(E15:E16)</f>
        <v>0</v>
      </c>
    </row>
    <row r="18" spans="2:5" ht="13.8" thickBot="1" x14ac:dyDescent="0.3">
      <c r="B18" s="194" t="s">
        <v>1064</v>
      </c>
      <c r="C18" s="189">
        <f>IF(C17="P",7.5,IF(C17="D",6,IF(C17="L",5,"Error")))</f>
        <v>7.5</v>
      </c>
      <c r="D18" s="192" t="s">
        <v>1065</v>
      </c>
    </row>
    <row r="19" spans="2:5" ht="13.8" thickBot="1" x14ac:dyDescent="0.3">
      <c r="D19" s="192" t="s">
        <v>1066</v>
      </c>
    </row>
    <row r="20" spans="2:5" ht="13.8" thickBot="1" x14ac:dyDescent="0.3">
      <c r="B20" s="179" t="s">
        <v>1067</v>
      </c>
      <c r="C20" s="195">
        <v>3</v>
      </c>
      <c r="D20" s="103" t="s">
        <v>33</v>
      </c>
    </row>
    <row r="23" spans="2:5" x14ac:dyDescent="0.25">
      <c r="B23" s="173" t="s">
        <v>1054</v>
      </c>
    </row>
    <row r="24" spans="2:5" x14ac:dyDescent="0.25">
      <c r="B24" s="389" t="s">
        <v>1055</v>
      </c>
      <c r="C24" s="175">
        <v>57</v>
      </c>
    </row>
    <row r="25" spans="2:5" x14ac:dyDescent="0.25">
      <c r="B25" s="389" t="s">
        <v>1021</v>
      </c>
      <c r="C25" s="175">
        <f>Page_A+3</f>
        <v>60</v>
      </c>
    </row>
    <row r="26" spans="2:5" x14ac:dyDescent="0.25">
      <c r="B26" s="389" t="s">
        <v>1013</v>
      </c>
      <c r="C26" s="175">
        <f>Page_E+3</f>
        <v>63</v>
      </c>
    </row>
    <row r="27" spans="2:5" x14ac:dyDescent="0.25">
      <c r="B27" s="389" t="s">
        <v>1419</v>
      </c>
      <c r="C27" s="175">
        <f>Page_F+1</f>
        <v>64</v>
      </c>
    </row>
    <row r="28" spans="2:5" x14ac:dyDescent="0.25">
      <c r="B28" s="389" t="s">
        <v>1539</v>
      </c>
      <c r="C28" s="175">
        <f>Page_F+2</f>
        <v>65</v>
      </c>
    </row>
    <row r="34" spans="2:14" x14ac:dyDescent="0.25">
      <c r="B34" s="103" t="s">
        <v>1425</v>
      </c>
      <c r="C34" s="405">
        <v>39.82</v>
      </c>
      <c r="D34">
        <v>37.04</v>
      </c>
    </row>
    <row r="35" spans="2:14" x14ac:dyDescent="0.25">
      <c r="B35" s="103" t="s">
        <v>1426</v>
      </c>
      <c r="C35" s="406">
        <v>8</v>
      </c>
    </row>
    <row r="36" spans="2:14" x14ac:dyDescent="0.25">
      <c r="B36" s="103" t="s">
        <v>1427</v>
      </c>
      <c r="C36" s="407">
        <f>ROUND(C34*C35,2)</f>
        <v>318.56</v>
      </c>
    </row>
    <row r="37" spans="2:14" x14ac:dyDescent="0.25">
      <c r="B37" s="409" t="s">
        <v>1429</v>
      </c>
      <c r="C37" s="410"/>
      <c r="D37" s="411" t="s">
        <v>1430</v>
      </c>
      <c r="E37" s="411" t="s">
        <v>1431</v>
      </c>
      <c r="F37" s="411" t="s">
        <v>1432</v>
      </c>
      <c r="G37" s="412"/>
      <c r="H37" s="413"/>
      <c r="I37" s="413"/>
      <c r="J37" s="413" t="s">
        <v>1433</v>
      </c>
      <c r="K37" s="413"/>
      <c r="L37" s="413"/>
      <c r="M37" s="413"/>
      <c r="N37" s="414"/>
    </row>
    <row r="38" spans="2:14" x14ac:dyDescent="0.25">
      <c r="B38" s="415" t="s">
        <v>1434</v>
      </c>
      <c r="C38" s="416"/>
      <c r="D38" s="417"/>
      <c r="E38" s="418">
        <f>ROUND(_LabourRate*70/60/60/0.06/50,2)</f>
        <v>0.26</v>
      </c>
      <c r="F38" s="419" t="s">
        <v>1435</v>
      </c>
      <c r="G38" s="415" t="s">
        <v>1436</v>
      </c>
      <c r="H38" s="420"/>
      <c r="I38" s="420"/>
      <c r="J38" s="420" t="s">
        <v>1437</v>
      </c>
      <c r="K38" s="420"/>
      <c r="L38" s="420"/>
      <c r="M38" s="420"/>
      <c r="N38" s="421"/>
    </row>
    <row r="39" spans="2:14" x14ac:dyDescent="0.25">
      <c r="B39" s="422" t="s">
        <v>1438</v>
      </c>
      <c r="C39" s="423"/>
      <c r="D39" s="424"/>
      <c r="E39" s="425">
        <v>30</v>
      </c>
      <c r="F39" s="426"/>
      <c r="G39" s="427"/>
      <c r="H39" s="428"/>
      <c r="I39" s="428"/>
      <c r="J39" s="428"/>
      <c r="K39" s="428"/>
      <c r="L39" s="428"/>
      <c r="M39" s="428"/>
      <c r="N39" s="429"/>
    </row>
    <row r="40" spans="2:14" ht="13.8" x14ac:dyDescent="0.3">
      <c r="B40" s="422" t="s">
        <v>1439</v>
      </c>
      <c r="C40" s="423"/>
      <c r="D40" s="430" t="s">
        <v>601</v>
      </c>
      <c r="E40" s="408">
        <f>ROUND(_HaulPerMetre*E39,1)</f>
        <v>7.8</v>
      </c>
      <c r="F40" s="431" t="s">
        <v>1440</v>
      </c>
      <c r="G40" s="422"/>
      <c r="H40" s="432"/>
      <c r="I40" s="432"/>
      <c r="J40" s="432"/>
      <c r="K40" s="432"/>
      <c r="L40" s="432"/>
      <c r="M40" s="432"/>
      <c r="N40" s="433"/>
    </row>
    <row r="41" spans="2:14" ht="13.8" x14ac:dyDescent="0.3">
      <c r="B41" s="422" t="s">
        <v>1441</v>
      </c>
      <c r="C41" s="423"/>
      <c r="D41" s="430" t="s">
        <v>601</v>
      </c>
      <c r="E41" s="408">
        <f>ROUND(7*15/60*_LabourRate*5,0)</f>
        <v>348</v>
      </c>
      <c r="F41" s="431" t="s">
        <v>1442</v>
      </c>
      <c r="G41" s="422" t="s">
        <v>1443</v>
      </c>
      <c r="H41" s="432"/>
      <c r="I41" s="432"/>
      <c r="J41" s="432"/>
      <c r="K41" s="432"/>
      <c r="L41" s="432"/>
      <c r="M41" s="432"/>
      <c r="N41" s="433"/>
    </row>
    <row r="42" spans="2:14" x14ac:dyDescent="0.25">
      <c r="B42" s="434" t="s">
        <v>1444</v>
      </c>
      <c r="C42" s="435"/>
      <c r="D42" s="436" t="s">
        <v>676</v>
      </c>
      <c r="E42" s="408">
        <f>_Mix</f>
        <v>348</v>
      </c>
      <c r="F42" s="437" t="s">
        <v>1445</v>
      </c>
      <c r="G42" s="434" t="s">
        <v>1446</v>
      </c>
      <c r="H42" s="438"/>
      <c r="I42" s="438"/>
      <c r="J42" s="438"/>
      <c r="K42" s="438"/>
      <c r="L42" s="438"/>
      <c r="M42" s="438"/>
      <c r="N42" s="439"/>
    </row>
    <row r="43" spans="2:14" x14ac:dyDescent="0.25">
      <c r="B43" s="422" t="s">
        <v>1447</v>
      </c>
      <c r="C43" s="423"/>
      <c r="D43" s="430" t="s">
        <v>1448</v>
      </c>
      <c r="E43" s="408">
        <f>ROUND(_LabourDaily*4/5,0)</f>
        <v>255</v>
      </c>
      <c r="F43" s="431" t="s">
        <v>1449</v>
      </c>
      <c r="G43" s="422" t="s">
        <v>1450</v>
      </c>
      <c r="H43" s="432"/>
      <c r="I43" s="432"/>
      <c r="J43" s="432"/>
      <c r="K43" s="432"/>
      <c r="L43" s="432"/>
      <c r="M43" s="432"/>
      <c r="N43" s="433"/>
    </row>
    <row r="44" spans="2:14" x14ac:dyDescent="0.25">
      <c r="B44" s="422" t="s">
        <v>1451</v>
      </c>
      <c r="C44" s="423"/>
      <c r="D44" s="436" t="s">
        <v>676</v>
      </c>
      <c r="E44" s="408">
        <f>ROUND((_LabourDaily/2.5)+(_LabourRate*70/60/60/0.12),0)</f>
        <v>134</v>
      </c>
      <c r="F44" s="431" t="s">
        <v>1452</v>
      </c>
      <c r="G44" s="422" t="s">
        <v>1453</v>
      </c>
      <c r="H44" s="432"/>
      <c r="I44" s="432"/>
      <c r="J44" s="432"/>
      <c r="K44" s="432"/>
      <c r="L44" s="432"/>
      <c r="M44" s="432"/>
      <c r="N44" s="433"/>
    </row>
    <row r="45" spans="2:14" x14ac:dyDescent="0.25">
      <c r="B45" s="422" t="s">
        <v>1454</v>
      </c>
      <c r="C45" s="423"/>
      <c r="D45" s="436" t="s">
        <v>676</v>
      </c>
      <c r="E45" s="408">
        <f>ROUND(_LabourRate/(5*0.1),1)</f>
        <v>79.599999999999994</v>
      </c>
      <c r="F45" s="431" t="s">
        <v>1455</v>
      </c>
      <c r="G45" s="422" t="s">
        <v>1456</v>
      </c>
      <c r="H45" s="432"/>
      <c r="I45" s="432"/>
      <c r="J45" s="432"/>
      <c r="K45" s="432"/>
      <c r="L45" s="432"/>
      <c r="M45" s="432"/>
      <c r="N45" s="433"/>
    </row>
    <row r="46" spans="2:14" x14ac:dyDescent="0.25">
      <c r="B46" s="422" t="s">
        <v>1457</v>
      </c>
      <c r="C46" s="423"/>
      <c r="D46" s="436" t="s">
        <v>676</v>
      </c>
      <c r="E46" s="408">
        <f>ROUND(_LabourRate/(20*0.15),1)</f>
        <v>13.3</v>
      </c>
      <c r="F46" s="431" t="s">
        <v>1458</v>
      </c>
      <c r="G46" s="422" t="s">
        <v>1459</v>
      </c>
      <c r="H46" s="432"/>
      <c r="I46" s="432"/>
      <c r="J46" s="432"/>
      <c r="K46" s="432"/>
      <c r="L46" s="432"/>
      <c r="M46" s="432"/>
      <c r="N46" s="433"/>
    </row>
    <row r="47" spans="2:14" x14ac:dyDescent="0.25">
      <c r="B47" s="422" t="s">
        <v>1460</v>
      </c>
      <c r="C47" s="423"/>
      <c r="D47" s="436" t="s">
        <v>676</v>
      </c>
      <c r="E47" s="408">
        <f>ROUND(_LabourRate/8,1)</f>
        <v>5</v>
      </c>
      <c r="F47" s="431" t="s">
        <v>1461</v>
      </c>
      <c r="G47" s="422" t="s">
        <v>1462</v>
      </c>
      <c r="H47" s="432"/>
      <c r="I47" s="432"/>
      <c r="J47" s="432"/>
      <c r="K47" s="432"/>
      <c r="L47" s="432"/>
      <c r="M47" s="432"/>
      <c r="N47" s="433"/>
    </row>
    <row r="48" spans="2:14" x14ac:dyDescent="0.25">
      <c r="B48" s="422" t="s">
        <v>549</v>
      </c>
      <c r="C48" s="423"/>
      <c r="D48" s="430" t="s">
        <v>1448</v>
      </c>
      <c r="E48" s="408">
        <f>ROUND(_LabourDaily*4/25,0)</f>
        <v>51</v>
      </c>
      <c r="F48" s="431" t="s">
        <v>1463</v>
      </c>
      <c r="G48" s="422" t="s">
        <v>1464</v>
      </c>
      <c r="H48" s="428"/>
      <c r="I48" s="428"/>
      <c r="J48" s="428"/>
      <c r="K48" s="428"/>
      <c r="L48" s="428"/>
      <c r="M48" s="428"/>
      <c r="N48" s="429"/>
    </row>
    <row r="49" spans="2:14" x14ac:dyDescent="0.25">
      <c r="B49" s="422" t="s">
        <v>1102</v>
      </c>
      <c r="C49" s="423"/>
      <c r="D49" s="430" t="s">
        <v>1448</v>
      </c>
      <c r="E49" s="408">
        <f>ROUND(_LabourDaily*4/15,0)</f>
        <v>85</v>
      </c>
      <c r="F49" s="431" t="s">
        <v>1465</v>
      </c>
      <c r="G49" s="422" t="s">
        <v>1466</v>
      </c>
      <c r="H49" s="428"/>
      <c r="I49" s="428"/>
      <c r="J49" s="428"/>
      <c r="K49" s="428"/>
      <c r="L49" s="428"/>
      <c r="M49" s="428"/>
      <c r="N49" s="429"/>
    </row>
    <row r="50" spans="2:14" x14ac:dyDescent="0.25">
      <c r="B50" s="422" t="s">
        <v>1467</v>
      </c>
      <c r="C50" s="423"/>
      <c r="D50" s="430" t="s">
        <v>32</v>
      </c>
      <c r="E50" s="408">
        <f>ROUND(_LabourRate/10*10000,1)</f>
        <v>39820</v>
      </c>
      <c r="F50" s="431" t="s">
        <v>1468</v>
      </c>
      <c r="G50" s="422" t="s">
        <v>1469</v>
      </c>
      <c r="H50" s="428"/>
      <c r="I50" s="428"/>
      <c r="J50" s="428"/>
      <c r="K50" s="428"/>
      <c r="L50" s="428"/>
      <c r="M50" s="428"/>
      <c r="N50" s="429"/>
    </row>
    <row r="51" spans="2:14" x14ac:dyDescent="0.25">
      <c r="B51" s="422" t="s">
        <v>1470</v>
      </c>
      <c r="C51" s="423"/>
      <c r="D51" s="436" t="s">
        <v>676</v>
      </c>
      <c r="E51" s="408">
        <f>ROUND(_LabourDaily/10+_Wacker,0)</f>
        <v>45</v>
      </c>
      <c r="F51" s="431" t="s">
        <v>1471</v>
      </c>
      <c r="G51" s="422" t="s">
        <v>1472</v>
      </c>
      <c r="H51" s="428"/>
      <c r="I51" s="428"/>
      <c r="J51" s="428"/>
      <c r="K51" s="428"/>
      <c r="L51" s="428"/>
      <c r="M51" s="428"/>
      <c r="N51" s="429"/>
    </row>
    <row r="52" spans="2:14" x14ac:dyDescent="0.25">
      <c r="B52" s="422" t="s">
        <v>1473</v>
      </c>
      <c r="C52" s="423"/>
      <c r="D52" s="430" t="s">
        <v>1448</v>
      </c>
      <c r="E52" s="408">
        <f>ROUND(_LabourRate*3,0)</f>
        <v>119</v>
      </c>
      <c r="F52" s="431" t="s">
        <v>1474</v>
      </c>
      <c r="G52" s="422" t="s">
        <v>1475</v>
      </c>
      <c r="H52" s="428"/>
      <c r="I52" s="428"/>
      <c r="J52" s="428"/>
      <c r="K52" s="428"/>
      <c r="L52" s="428"/>
      <c r="M52" s="428"/>
      <c r="N52" s="429"/>
    </row>
    <row r="53" spans="2:14" x14ac:dyDescent="0.25">
      <c r="B53" s="422" t="s">
        <v>1476</v>
      </c>
      <c r="C53" s="423"/>
      <c r="D53" s="430" t="s">
        <v>35</v>
      </c>
      <c r="E53" s="408">
        <f>ROUND(100/1000*_LabourRate,1)</f>
        <v>4</v>
      </c>
      <c r="F53" s="431" t="s">
        <v>1477</v>
      </c>
      <c r="G53" s="422" t="s">
        <v>1478</v>
      </c>
      <c r="H53" s="428"/>
      <c r="I53" s="428"/>
      <c r="J53" s="428"/>
      <c r="K53" s="428"/>
      <c r="L53" s="428"/>
      <c r="M53" s="428"/>
      <c r="N53" s="429"/>
    </row>
    <row r="54" spans="2:14" x14ac:dyDescent="0.25">
      <c r="B54" s="422" t="s">
        <v>1479</v>
      </c>
      <c r="C54" s="423"/>
      <c r="D54" s="440" t="s">
        <v>817</v>
      </c>
      <c r="E54" s="408">
        <f>ROUND(_LabourRate*5/60,1)</f>
        <v>3.3</v>
      </c>
      <c r="F54" s="431" t="s">
        <v>1480</v>
      </c>
      <c r="G54" s="422" t="s">
        <v>1481</v>
      </c>
      <c r="H54" s="428"/>
      <c r="I54" s="428"/>
      <c r="J54" s="428"/>
      <c r="K54" s="428"/>
      <c r="L54" s="428"/>
      <c r="M54" s="428"/>
      <c r="N54" s="429"/>
    </row>
    <row r="55" spans="2:14" x14ac:dyDescent="0.25">
      <c r="B55" s="422" t="s">
        <v>1482</v>
      </c>
      <c r="C55" s="423"/>
      <c r="D55" s="430" t="s">
        <v>817</v>
      </c>
      <c r="E55" s="408">
        <f>ROUND(_LabourRate*2*4/60,1)</f>
        <v>5.3</v>
      </c>
      <c r="F55" s="431" t="s">
        <v>1483</v>
      </c>
      <c r="G55" s="422" t="s">
        <v>1484</v>
      </c>
      <c r="H55" s="428"/>
      <c r="I55" s="428"/>
      <c r="J55" s="428"/>
      <c r="K55" s="428"/>
      <c r="L55" s="428"/>
      <c r="M55" s="428"/>
      <c r="N55" s="429"/>
    </row>
    <row r="56" spans="2:14" x14ac:dyDescent="0.25">
      <c r="B56" s="422" t="s">
        <v>1485</v>
      </c>
      <c r="C56" s="423"/>
      <c r="D56" s="430" t="s">
        <v>6</v>
      </c>
      <c r="E56" s="408">
        <f>ROUND(_LabourRate*2*15/60/2.5,1)</f>
        <v>8</v>
      </c>
      <c r="F56" s="431" t="s">
        <v>1486</v>
      </c>
      <c r="G56" s="422" t="s">
        <v>1487</v>
      </c>
      <c r="H56" s="428"/>
      <c r="I56" s="428"/>
      <c r="J56" s="428"/>
      <c r="K56" s="428"/>
      <c r="L56" s="428"/>
      <c r="M56" s="428"/>
      <c r="N56" s="429"/>
    </row>
    <row r="57" spans="2:14" x14ac:dyDescent="0.25">
      <c r="B57" s="422" t="s">
        <v>1488</v>
      </c>
      <c r="C57" s="423"/>
      <c r="D57" s="430" t="s">
        <v>6</v>
      </c>
      <c r="E57" s="408">
        <f>ROUND(_LabourRate*5/20,1)</f>
        <v>10</v>
      </c>
      <c r="F57" s="431" t="s">
        <v>1489</v>
      </c>
      <c r="G57" s="422" t="s">
        <v>1490</v>
      </c>
      <c r="H57" s="428"/>
      <c r="I57" s="428"/>
      <c r="J57" s="428"/>
      <c r="K57" s="428"/>
      <c r="L57" s="428"/>
      <c r="M57" s="428"/>
      <c r="N57" s="429"/>
    </row>
    <row r="58" spans="2:14" x14ac:dyDescent="0.25">
      <c r="B58" s="422" t="s">
        <v>1491</v>
      </c>
      <c r="C58" s="423"/>
      <c r="D58" s="430" t="s">
        <v>6</v>
      </c>
      <c r="E58" s="408">
        <f>_Mix*0.3*0.075+_LabourDaily*4/70</f>
        <v>26.033428571428569</v>
      </c>
      <c r="F58" s="431" t="s">
        <v>1492</v>
      </c>
      <c r="G58" s="422" t="s">
        <v>1493</v>
      </c>
      <c r="H58" s="428"/>
      <c r="I58" s="428"/>
      <c r="J58" s="428"/>
      <c r="K58" s="428"/>
      <c r="L58" s="428"/>
      <c r="M58" s="428"/>
      <c r="N58" s="429"/>
    </row>
    <row r="59" spans="2:14" x14ac:dyDescent="0.25">
      <c r="B59" s="422" t="s">
        <v>1494</v>
      </c>
      <c r="C59" s="423"/>
      <c r="D59" s="430" t="s">
        <v>6</v>
      </c>
      <c r="E59" s="408">
        <f>ROUND((_Excavation*0.5*0.1)+(_Mix*0.5*0.1)+_Kerb,1)</f>
        <v>50.1</v>
      </c>
      <c r="F59" s="431" t="s">
        <v>1495</v>
      </c>
      <c r="G59" s="422" t="s">
        <v>1496</v>
      </c>
      <c r="H59" s="428"/>
      <c r="I59" s="428"/>
      <c r="J59" s="428"/>
      <c r="K59" s="428"/>
      <c r="L59" s="428"/>
      <c r="M59" s="428"/>
      <c r="N59" s="429"/>
    </row>
    <row r="60" spans="2:14" x14ac:dyDescent="0.25">
      <c r="B60" s="422" t="s">
        <v>1497</v>
      </c>
      <c r="C60" s="423"/>
      <c r="D60" s="440" t="s">
        <v>676</v>
      </c>
      <c r="E60" s="408">
        <f>ROUND(_LabourDaily,0)</f>
        <v>319</v>
      </c>
      <c r="F60" s="431" t="s">
        <v>1498</v>
      </c>
      <c r="G60" s="422" t="s">
        <v>1499</v>
      </c>
      <c r="H60" s="428"/>
      <c r="I60" s="428"/>
      <c r="J60" s="428"/>
      <c r="K60" s="428"/>
      <c r="L60" s="428"/>
      <c r="M60" s="428"/>
      <c r="N60" s="429"/>
    </row>
    <row r="61" spans="2:14" x14ac:dyDescent="0.25">
      <c r="B61" s="422" t="s">
        <v>1500</v>
      </c>
      <c r="C61" s="423"/>
      <c r="D61" s="430" t="s">
        <v>1501</v>
      </c>
      <c r="E61" s="408">
        <f>ROUND(_LabourDaily*4/8,0)</f>
        <v>159</v>
      </c>
      <c r="F61" s="431" t="s">
        <v>1502</v>
      </c>
      <c r="G61" s="422" t="s">
        <v>1503</v>
      </c>
      <c r="H61" s="428"/>
      <c r="I61" s="428"/>
      <c r="J61" s="428"/>
      <c r="K61" s="428"/>
      <c r="L61" s="428"/>
      <c r="M61" s="428"/>
      <c r="N61" s="429"/>
    </row>
    <row r="62" spans="2:14" x14ac:dyDescent="0.25">
      <c r="B62" s="422" t="s">
        <v>1504</v>
      </c>
      <c r="C62" s="423"/>
      <c r="D62" s="430" t="s">
        <v>6</v>
      </c>
      <c r="E62" s="408">
        <f>ROUND(_LabourDaily*4/26,1)</f>
        <v>49</v>
      </c>
      <c r="F62" s="431" t="s">
        <v>1505</v>
      </c>
      <c r="G62" s="422" t="s">
        <v>1506</v>
      </c>
      <c r="H62" s="428"/>
      <c r="I62" s="428"/>
      <c r="J62" s="428"/>
      <c r="K62" s="428"/>
      <c r="L62" s="428"/>
      <c r="M62" s="428"/>
      <c r="N62" s="429"/>
    </row>
    <row r="63" spans="2:14" ht="13.8" x14ac:dyDescent="0.3">
      <c r="B63" s="422" t="s">
        <v>1507</v>
      </c>
      <c r="C63" s="423"/>
      <c r="D63" s="430" t="s">
        <v>1501</v>
      </c>
      <c r="E63" s="408">
        <f>ROUND(_LabourRate*4/2,0)</f>
        <v>80</v>
      </c>
      <c r="F63" s="431" t="s">
        <v>1508</v>
      </c>
      <c r="G63" s="422" t="s">
        <v>1509</v>
      </c>
      <c r="H63" s="428"/>
      <c r="I63" s="428"/>
      <c r="J63" s="428"/>
      <c r="K63" s="428"/>
      <c r="L63" s="428"/>
      <c r="M63" s="428"/>
      <c r="N63" s="429"/>
    </row>
    <row r="64" spans="2:14" x14ac:dyDescent="0.25">
      <c r="B64" s="422"/>
      <c r="C64" s="423"/>
      <c r="D64" s="430"/>
      <c r="E64" s="408"/>
      <c r="F64" s="431"/>
      <c r="G64" s="422"/>
      <c r="H64" s="428"/>
      <c r="I64" s="428"/>
      <c r="J64" s="428"/>
      <c r="K64" s="428"/>
      <c r="L64" s="428"/>
      <c r="M64" s="428"/>
      <c r="N64" s="429"/>
    </row>
    <row r="65" spans="2:14" x14ac:dyDescent="0.25">
      <c r="B65" s="422"/>
      <c r="C65" s="423"/>
      <c r="D65" s="440"/>
      <c r="E65" s="408"/>
      <c r="F65" s="431"/>
      <c r="G65" s="422"/>
      <c r="H65" s="428"/>
      <c r="I65" s="428"/>
      <c r="J65" s="428"/>
      <c r="K65" s="428"/>
      <c r="L65" s="428"/>
      <c r="M65" s="428"/>
      <c r="N65" s="429"/>
    </row>
    <row r="66" spans="2:14" x14ac:dyDescent="0.25">
      <c r="B66" s="422"/>
      <c r="C66" s="423"/>
      <c r="D66" s="440"/>
      <c r="E66" s="408"/>
      <c r="F66" s="431"/>
      <c r="G66" s="422"/>
      <c r="H66" s="428"/>
      <c r="I66" s="428"/>
      <c r="J66" s="428"/>
      <c r="K66" s="428"/>
      <c r="L66" s="428"/>
      <c r="M66" s="428"/>
      <c r="N66" s="429"/>
    </row>
    <row r="67" spans="2:14" x14ac:dyDescent="0.25">
      <c r="B67" s="422"/>
      <c r="C67" s="423"/>
      <c r="D67" s="440"/>
      <c r="E67" s="408"/>
      <c r="F67" s="431"/>
      <c r="G67" s="422"/>
      <c r="H67" s="428"/>
      <c r="I67" s="428"/>
      <c r="J67" s="428"/>
      <c r="K67" s="428"/>
      <c r="L67" s="428"/>
      <c r="M67" s="428"/>
      <c r="N67" s="429"/>
    </row>
    <row r="68" spans="2:14" x14ac:dyDescent="0.25">
      <c r="B68" s="434"/>
      <c r="C68" s="435"/>
      <c r="D68" s="441"/>
      <c r="E68" s="442"/>
      <c r="F68" s="443"/>
      <c r="G68" s="444"/>
      <c r="H68" s="445"/>
      <c r="I68" s="445"/>
      <c r="J68" s="445"/>
      <c r="K68" s="445"/>
      <c r="L68" s="445"/>
      <c r="M68" s="445"/>
      <c r="N68" s="446"/>
    </row>
  </sheetData>
  <mergeCells count="1">
    <mergeCell ref="H4:H7"/>
  </mergeCells>
  <dataValidations disablePrompts="1" count="1">
    <dataValidation type="list" allowBlank="1" showInputMessage="1" showErrorMessage="1" sqref="C17" xr:uid="{4A568923-4304-4125-A5A7-DB12E35D5EA8}">
      <formula1>$D$17:$D$19</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38100</xdr:colOff>
                    <xdr:row>6</xdr:row>
                    <xdr:rowOff>106680</xdr:rowOff>
                  </from>
                  <to>
                    <xdr:col>2</xdr:col>
                    <xdr:colOff>106680</xdr:colOff>
                    <xdr:row>8</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416F4-CDDB-48DD-9F01-0D0E564C2644}">
  <sheetPr codeName="Sheet2">
    <tabColor rgb="FF92D050"/>
  </sheetPr>
  <dimension ref="B1:N152"/>
  <sheetViews>
    <sheetView view="pageBreakPreview" topLeftCell="A4" zoomScaleNormal="85" zoomScaleSheetLayoutView="100" workbookViewId="0">
      <selection activeCell="J159" sqref="J159"/>
    </sheetView>
  </sheetViews>
  <sheetFormatPr defaultColWidth="6.6640625" defaultRowHeight="13.2" x14ac:dyDescent="0.25"/>
  <cols>
    <col min="1" max="1" width="0.6640625" style="1" customWidth="1"/>
    <col min="2" max="2" width="11.5546875" style="83" customWidth="1"/>
    <col min="3" max="3" width="45.5546875" style="3" customWidth="1"/>
    <col min="4" max="4" width="3.664062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0" width="6.6640625" style="1"/>
    <col min="11" max="14" width="15.5546875" style="1" customWidth="1"/>
    <col min="15" max="16384" width="6.6640625" style="1"/>
  </cols>
  <sheetData>
    <row r="1" spans="2:14" x14ac:dyDescent="0.25">
      <c r="H1" s="234">
        <f>MAX(H9:H531)</f>
        <v>700000</v>
      </c>
    </row>
    <row r="2" spans="2:14" x14ac:dyDescent="0.25">
      <c r="B2" s="498" t="str">
        <f>Client1</f>
        <v>Province of KwaZulu-Natal</v>
      </c>
      <c r="C2" s="498"/>
      <c r="D2" s="498"/>
      <c r="E2" s="498"/>
      <c r="F2" s="496" t="str">
        <f>"Contract No. "&amp;ContractNo</f>
        <v>Contract No. ZNB02215/00000/00/HOD/INF/23/T</v>
      </c>
      <c r="G2" s="496"/>
      <c r="H2" s="496"/>
      <c r="K2" s="402"/>
      <c r="L2" s="402">
        <f>MAX(L3:L276)</f>
        <v>0</v>
      </c>
      <c r="M2" s="402"/>
      <c r="N2" s="403"/>
    </row>
    <row r="3" spans="2:14" x14ac:dyDescent="0.25">
      <c r="B3" s="498" t="str">
        <f>Client2</f>
        <v>Department of Transport</v>
      </c>
      <c r="C3" s="498"/>
      <c r="D3" s="498"/>
      <c r="E3" s="498"/>
      <c r="F3" s="496"/>
      <c r="G3" s="496"/>
      <c r="H3" s="496"/>
      <c r="K3" s="404" t="s">
        <v>1421</v>
      </c>
      <c r="L3" s="404" t="s">
        <v>1422</v>
      </c>
      <c r="M3" s="404" t="s">
        <v>1423</v>
      </c>
      <c r="N3" s="404" t="s">
        <v>1424</v>
      </c>
    </row>
    <row r="4" spans="2:14" x14ac:dyDescent="0.25">
      <c r="B4" s="499"/>
      <c r="C4" s="499"/>
      <c r="D4" s="499"/>
      <c r="E4" s="499"/>
      <c r="F4" s="497"/>
      <c r="G4" s="497"/>
      <c r="H4" s="497"/>
    </row>
    <row r="5" spans="2:14" x14ac:dyDescent="0.25">
      <c r="B5" s="507" t="s">
        <v>8</v>
      </c>
      <c r="C5" s="508"/>
      <c r="D5" s="508"/>
      <c r="E5" s="508"/>
      <c r="F5" s="508"/>
      <c r="G5" s="508"/>
      <c r="H5" s="504" t="str">
        <f>"CHAPTER "&amp;B11</f>
        <v>CHAPTER C1.2</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05"/>
      <c r="I6" s="9"/>
    </row>
    <row r="7" spans="2:14" ht="12.75" customHeight="1" x14ac:dyDescent="0.25">
      <c r="B7" s="500"/>
      <c r="C7" s="501"/>
      <c r="D7" s="501"/>
      <c r="E7" s="501"/>
      <c r="F7" s="501"/>
      <c r="G7" s="501"/>
      <c r="H7" s="505"/>
      <c r="I7" s="9"/>
    </row>
    <row r="8" spans="2:14" ht="7.5" customHeight="1" x14ac:dyDescent="0.25">
      <c r="B8" s="502"/>
      <c r="C8" s="503"/>
      <c r="D8" s="503"/>
      <c r="E8" s="503"/>
      <c r="F8" s="503"/>
      <c r="G8" s="503"/>
      <c r="H8" s="506"/>
      <c r="I8" s="9"/>
    </row>
    <row r="9" spans="2:14" s="10" customFormat="1" ht="25.2" customHeight="1" x14ac:dyDescent="0.25">
      <c r="B9" s="81" t="s">
        <v>0</v>
      </c>
      <c r="C9" s="12" t="s">
        <v>1</v>
      </c>
      <c r="D9" s="12" t="s">
        <v>1602</v>
      </c>
      <c r="E9" s="12" t="s">
        <v>2</v>
      </c>
      <c r="F9" s="12" t="s">
        <v>3</v>
      </c>
      <c r="G9" s="12" t="s">
        <v>4</v>
      </c>
      <c r="H9" s="12" t="s">
        <v>5</v>
      </c>
      <c r="I9" s="13"/>
      <c r="K9" s="12"/>
      <c r="L9" s="12"/>
      <c r="M9" s="12"/>
      <c r="N9" s="12"/>
    </row>
    <row r="10" spans="2:14" x14ac:dyDescent="0.25">
      <c r="B10" s="53"/>
      <c r="C10" s="15"/>
      <c r="D10" s="15"/>
      <c r="E10" s="16"/>
      <c r="F10" s="16"/>
      <c r="G10" s="17"/>
      <c r="H10" s="26" t="str">
        <f t="shared" ref="H10:H30" si="0">IF(E10="","",F10*G10)</f>
        <v/>
      </c>
      <c r="I10" s="19"/>
      <c r="K10" s="17"/>
      <c r="L10" s="17"/>
      <c r="M10" s="17"/>
      <c r="N10" s="17"/>
    </row>
    <row r="11" spans="2:14" x14ac:dyDescent="0.25">
      <c r="B11" s="80" t="s">
        <v>16</v>
      </c>
      <c r="C11" s="21" t="s">
        <v>13</v>
      </c>
      <c r="D11" s="21"/>
      <c r="E11" s="23"/>
      <c r="F11" s="23"/>
      <c r="G11" s="43"/>
      <c r="H11" s="26" t="str">
        <f t="shared" si="0"/>
        <v/>
      </c>
      <c r="I11" s="44"/>
      <c r="K11" s="43"/>
      <c r="L11" s="43"/>
      <c r="M11" s="43"/>
      <c r="N11" s="43"/>
    </row>
    <row r="12" spans="2:14" x14ac:dyDescent="0.25">
      <c r="B12" s="53"/>
      <c r="C12" s="15"/>
      <c r="D12" s="15"/>
      <c r="E12" s="23"/>
      <c r="F12" s="23"/>
      <c r="G12" s="43"/>
      <c r="H12" s="26" t="str">
        <f t="shared" si="0"/>
        <v/>
      </c>
      <c r="I12" s="44"/>
      <c r="K12" s="43"/>
      <c r="L12" s="43"/>
      <c r="M12" s="43"/>
      <c r="N12" s="43"/>
    </row>
    <row r="13" spans="2:14" x14ac:dyDescent="0.25">
      <c r="B13" s="53" t="s">
        <v>17</v>
      </c>
      <c r="C13" s="15" t="s">
        <v>18</v>
      </c>
      <c r="D13" s="15"/>
      <c r="E13" s="23"/>
      <c r="F13" s="23"/>
      <c r="G13" s="43"/>
      <c r="H13" s="26" t="str">
        <f t="shared" si="0"/>
        <v/>
      </c>
      <c r="I13" s="44"/>
      <c r="K13" s="43"/>
      <c r="L13" s="43"/>
      <c r="M13" s="43"/>
      <c r="N13" s="43"/>
    </row>
    <row r="14" spans="2:14" x14ac:dyDescent="0.25">
      <c r="B14" s="53"/>
      <c r="C14" s="15"/>
      <c r="D14" s="15"/>
      <c r="E14" s="23"/>
      <c r="F14" s="23"/>
      <c r="G14" s="43"/>
      <c r="H14" s="26" t="str">
        <f t="shared" si="0"/>
        <v/>
      </c>
      <c r="I14" s="44"/>
      <c r="K14" s="43"/>
      <c r="L14" s="43"/>
      <c r="M14" s="43"/>
      <c r="N14" s="43"/>
    </row>
    <row r="15" spans="2:14" ht="26.4" x14ac:dyDescent="0.25">
      <c r="B15" s="53" t="s">
        <v>19</v>
      </c>
      <c r="C15" s="15" t="s">
        <v>20</v>
      </c>
      <c r="D15" s="15"/>
      <c r="E15" s="23" t="s">
        <v>21</v>
      </c>
      <c r="F15" s="24" cm="1">
        <f t="array" ref="F15">_Duration</f>
        <v>18</v>
      </c>
      <c r="G15" s="41"/>
      <c r="H15" s="26">
        <f t="shared" si="0"/>
        <v>0</v>
      </c>
      <c r="I15" s="45"/>
      <c r="K15" s="41"/>
      <c r="L15" s="41"/>
      <c r="M15" s="41"/>
      <c r="N15" s="41"/>
    </row>
    <row r="16" spans="2:14" x14ac:dyDescent="0.25">
      <c r="B16" s="53"/>
      <c r="C16" s="15"/>
      <c r="D16" s="15"/>
      <c r="E16" s="23"/>
      <c r="F16" s="24"/>
      <c r="G16" s="41"/>
      <c r="H16" s="26" t="str">
        <f t="shared" si="0"/>
        <v/>
      </c>
      <c r="I16" s="45"/>
      <c r="K16" s="41"/>
      <c r="L16" s="41"/>
      <c r="M16" s="41"/>
      <c r="N16" s="41"/>
    </row>
    <row r="17" spans="2:14" ht="26.4" x14ac:dyDescent="0.25">
      <c r="B17" s="53" t="s">
        <v>22</v>
      </c>
      <c r="C17" s="15" t="s">
        <v>23</v>
      </c>
      <c r="D17" s="15"/>
      <c r="E17" s="23" t="s">
        <v>21</v>
      </c>
      <c r="F17" s="24">
        <f>_Duration</f>
        <v>18</v>
      </c>
      <c r="G17" s="41"/>
      <c r="H17" s="26">
        <f t="shared" si="0"/>
        <v>0</v>
      </c>
      <c r="I17" s="45"/>
      <c r="K17" s="41"/>
      <c r="L17" s="41"/>
      <c r="M17" s="41"/>
      <c r="N17" s="41"/>
    </row>
    <row r="18" spans="2:14" x14ac:dyDescent="0.25">
      <c r="B18" s="53"/>
      <c r="C18" s="15"/>
      <c r="D18" s="15"/>
      <c r="E18" s="23"/>
      <c r="F18" s="24"/>
      <c r="G18" s="41"/>
      <c r="H18" s="26" t="str">
        <f t="shared" si="0"/>
        <v/>
      </c>
      <c r="I18" s="44"/>
      <c r="K18" s="41"/>
      <c r="L18" s="41"/>
      <c r="M18" s="41"/>
      <c r="N18" s="41"/>
    </row>
    <row r="19" spans="2:14" x14ac:dyDescent="0.25">
      <c r="B19" s="53" t="s">
        <v>14</v>
      </c>
      <c r="C19" s="15" t="s">
        <v>15</v>
      </c>
      <c r="D19" s="15"/>
      <c r="E19" s="23"/>
      <c r="F19" s="24"/>
      <c r="G19" s="46"/>
      <c r="H19" s="26" t="str">
        <f t="shared" si="0"/>
        <v/>
      </c>
      <c r="I19" s="44"/>
      <c r="K19" s="46"/>
      <c r="L19" s="46"/>
      <c r="M19" s="46"/>
      <c r="N19" s="46"/>
    </row>
    <row r="20" spans="2:14" x14ac:dyDescent="0.25">
      <c r="B20" s="53"/>
      <c r="C20" s="28"/>
      <c r="D20" s="146"/>
      <c r="E20" s="40"/>
      <c r="F20" s="200"/>
      <c r="G20" s="48"/>
      <c r="H20" s="196" t="str">
        <f t="shared" si="0"/>
        <v/>
      </c>
      <c r="K20" s="48"/>
      <c r="L20" s="48"/>
      <c r="M20" s="48"/>
      <c r="N20" s="48"/>
    </row>
    <row r="21" spans="2:14" x14ac:dyDescent="0.25">
      <c r="B21" s="53" t="s">
        <v>24</v>
      </c>
      <c r="C21" s="29" t="s">
        <v>28</v>
      </c>
      <c r="D21" s="147"/>
      <c r="E21" s="23" t="s">
        <v>11</v>
      </c>
      <c r="F21" s="200">
        <v>1</v>
      </c>
      <c r="G21" s="48"/>
      <c r="H21" s="196">
        <f t="shared" si="0"/>
        <v>0</v>
      </c>
      <c r="K21" s="48"/>
      <c r="L21" s="48"/>
      <c r="M21" s="48"/>
      <c r="N21" s="48"/>
    </row>
    <row r="22" spans="2:14" x14ac:dyDescent="0.25">
      <c r="B22" s="53"/>
      <c r="C22" s="28"/>
      <c r="D22" s="146"/>
      <c r="E22" s="40"/>
      <c r="F22" s="200"/>
      <c r="G22" s="48"/>
      <c r="H22" s="196" t="str">
        <f t="shared" si="0"/>
        <v/>
      </c>
      <c r="K22" s="48"/>
      <c r="L22" s="48"/>
      <c r="M22" s="48"/>
      <c r="N22" s="48"/>
    </row>
    <row r="23" spans="2:14" x14ac:dyDescent="0.25">
      <c r="B23" s="53" t="s">
        <v>25</v>
      </c>
      <c r="C23" s="15" t="s">
        <v>29</v>
      </c>
      <c r="D23" s="15"/>
      <c r="E23" s="23" t="s">
        <v>11</v>
      </c>
      <c r="F23" s="200">
        <v>1</v>
      </c>
      <c r="G23" s="48"/>
      <c r="H23" s="196">
        <f t="shared" si="0"/>
        <v>0</v>
      </c>
      <c r="I23" s="197"/>
      <c r="K23" s="48"/>
      <c r="L23" s="48"/>
      <c r="M23" s="48"/>
      <c r="N23" s="48"/>
    </row>
    <row r="24" spans="2:14" x14ac:dyDescent="0.25">
      <c r="B24" s="53"/>
      <c r="C24" s="15"/>
      <c r="D24" s="15"/>
      <c r="E24" s="23"/>
      <c r="F24" s="200"/>
      <c r="G24" s="48"/>
      <c r="H24" s="196" t="str">
        <f t="shared" si="0"/>
        <v/>
      </c>
      <c r="I24" s="197"/>
      <c r="K24" s="48"/>
      <c r="L24" s="48"/>
      <c r="M24" s="48"/>
      <c r="N24" s="48"/>
    </row>
    <row r="25" spans="2:14" ht="26.4" x14ac:dyDescent="0.25">
      <c r="B25" s="53" t="s">
        <v>26</v>
      </c>
      <c r="C25" s="15" t="s">
        <v>30</v>
      </c>
      <c r="D25" s="15"/>
      <c r="E25" s="23" t="s">
        <v>21</v>
      </c>
      <c r="F25" s="200">
        <f>_Duration</f>
        <v>18</v>
      </c>
      <c r="G25" s="51"/>
      <c r="H25" s="196">
        <f t="shared" si="0"/>
        <v>0</v>
      </c>
      <c r="I25" s="201"/>
      <c r="K25" s="51"/>
      <c r="L25" s="51"/>
      <c r="M25" s="51"/>
      <c r="N25" s="51"/>
    </row>
    <row r="26" spans="2:14" x14ac:dyDescent="0.25">
      <c r="B26" s="53"/>
      <c r="C26" s="15"/>
      <c r="D26" s="15"/>
      <c r="E26" s="23"/>
      <c r="F26" s="200"/>
      <c r="G26" s="51"/>
      <c r="H26" s="196" t="str">
        <f t="shared" si="0"/>
        <v/>
      </c>
      <c r="I26" s="197"/>
      <c r="K26" s="51"/>
      <c r="L26" s="51"/>
      <c r="M26" s="51"/>
      <c r="N26" s="51"/>
    </row>
    <row r="27" spans="2:14" ht="26.4" x14ac:dyDescent="0.25">
      <c r="B27" s="53" t="s">
        <v>27</v>
      </c>
      <c r="C27" s="15" t="s">
        <v>31</v>
      </c>
      <c r="D27" s="15"/>
      <c r="E27" s="23" t="s">
        <v>21</v>
      </c>
      <c r="F27" s="200">
        <v>18</v>
      </c>
      <c r="G27" s="51"/>
      <c r="H27" s="196">
        <f t="shared" si="0"/>
        <v>0</v>
      </c>
      <c r="I27" s="197"/>
      <c r="K27" s="51"/>
      <c r="L27" s="51"/>
      <c r="M27" s="51"/>
      <c r="N27" s="51"/>
    </row>
    <row r="28" spans="2:14" x14ac:dyDescent="0.25">
      <c r="B28" s="53"/>
      <c r="C28" s="15"/>
      <c r="D28" s="15"/>
      <c r="E28" s="23"/>
      <c r="F28" s="200"/>
      <c r="G28" s="51"/>
      <c r="H28" s="196" t="str">
        <f t="shared" si="0"/>
        <v/>
      </c>
      <c r="I28" s="197"/>
      <c r="K28" s="51"/>
      <c r="L28" s="51"/>
      <c r="M28" s="51"/>
      <c r="N28" s="51"/>
    </row>
    <row r="29" spans="2:14" x14ac:dyDescent="0.25">
      <c r="B29" s="80" t="s">
        <v>1589</v>
      </c>
      <c r="C29" s="21" t="s">
        <v>1590</v>
      </c>
      <c r="D29" s="21"/>
      <c r="E29" s="23" t="s">
        <v>21</v>
      </c>
      <c r="F29" s="23">
        <v>18</v>
      </c>
      <c r="G29" s="41"/>
      <c r="H29" s="196">
        <f t="shared" si="0"/>
        <v>0</v>
      </c>
      <c r="I29" s="44"/>
      <c r="K29" s="41"/>
      <c r="L29" s="41"/>
      <c r="M29" s="41"/>
      <c r="N29" s="41"/>
    </row>
    <row r="30" spans="2:14" x14ac:dyDescent="0.25">
      <c r="B30" s="53"/>
      <c r="C30" s="15"/>
      <c r="D30" s="15"/>
      <c r="E30" s="16"/>
      <c r="F30" s="27"/>
      <c r="G30" s="30"/>
      <c r="H30" s="26" t="str">
        <f t="shared" si="0"/>
        <v/>
      </c>
      <c r="I30" s="19"/>
      <c r="K30" s="30"/>
      <c r="L30" s="30"/>
      <c r="M30" s="30"/>
      <c r="N30" s="30"/>
    </row>
    <row r="31" spans="2:14" x14ac:dyDescent="0.25">
      <c r="B31" s="80" t="s">
        <v>38</v>
      </c>
      <c r="C31" s="21" t="s">
        <v>39</v>
      </c>
      <c r="D31" s="21"/>
      <c r="E31" s="23"/>
      <c r="F31" s="23"/>
      <c r="G31" s="41"/>
      <c r="H31" s="26" t="str">
        <f>IF(E31="","",F31*G31)</f>
        <v/>
      </c>
      <c r="I31" s="44"/>
      <c r="K31" s="41"/>
      <c r="L31" s="41"/>
      <c r="M31" s="41"/>
      <c r="N31" s="41"/>
    </row>
    <row r="32" spans="2:14" x14ac:dyDescent="0.25">
      <c r="B32" s="53"/>
      <c r="C32" s="15"/>
      <c r="D32" s="15"/>
      <c r="E32" s="23"/>
      <c r="F32" s="23"/>
      <c r="G32" s="41"/>
      <c r="H32" s="26" t="str">
        <f>IF(E32="","",F32*G32)</f>
        <v/>
      </c>
      <c r="I32" s="44"/>
      <c r="K32" s="41"/>
      <c r="L32" s="41"/>
      <c r="M32" s="41"/>
      <c r="N32" s="41"/>
    </row>
    <row r="33" spans="2:14" x14ac:dyDescent="0.25">
      <c r="B33" s="53" t="s">
        <v>40</v>
      </c>
      <c r="C33" s="15" t="s">
        <v>41</v>
      </c>
      <c r="D33" s="15"/>
      <c r="E33" s="23" t="s">
        <v>11</v>
      </c>
      <c r="F33" s="23">
        <v>1</v>
      </c>
      <c r="G33" s="41"/>
      <c r="H33" s="26">
        <f>IF(E33="","",F33*G33)</f>
        <v>0</v>
      </c>
      <c r="I33" s="44"/>
      <c r="K33" s="41"/>
      <c r="L33" s="41"/>
      <c r="M33" s="41"/>
      <c r="N33" s="41"/>
    </row>
    <row r="34" spans="2:14" x14ac:dyDescent="0.25">
      <c r="B34" s="53"/>
      <c r="C34" s="15"/>
      <c r="D34" s="15"/>
      <c r="E34" s="23"/>
      <c r="F34" s="23"/>
      <c r="G34" s="41"/>
      <c r="H34" s="26" t="str">
        <f>IF(E34="","",F34*G34)</f>
        <v/>
      </c>
      <c r="I34" s="44"/>
      <c r="K34" s="41"/>
      <c r="L34" s="41"/>
      <c r="M34" s="41"/>
      <c r="N34" s="41"/>
    </row>
    <row r="35" spans="2:14" x14ac:dyDescent="0.25">
      <c r="B35" s="53" t="s">
        <v>42</v>
      </c>
      <c r="C35" s="15" t="s">
        <v>43</v>
      </c>
      <c r="D35" s="15"/>
      <c r="E35" s="23" t="s">
        <v>21</v>
      </c>
      <c r="F35" s="23">
        <v>18</v>
      </c>
      <c r="G35" s="41"/>
      <c r="H35" s="26">
        <f>IF(E35="","",F35*G35)</f>
        <v>0</v>
      </c>
      <c r="I35" s="44"/>
      <c r="K35" s="41"/>
      <c r="L35" s="41"/>
      <c r="M35" s="41"/>
      <c r="N35" s="41"/>
    </row>
    <row r="36" spans="2:14" x14ac:dyDescent="0.25">
      <c r="B36" s="53"/>
      <c r="C36" s="15"/>
      <c r="D36" s="15"/>
      <c r="E36" s="23"/>
      <c r="F36" s="23"/>
      <c r="G36" s="41"/>
      <c r="H36" s="26"/>
      <c r="I36" s="44"/>
      <c r="K36" s="41"/>
      <c r="L36" s="41"/>
      <c r="M36" s="41"/>
      <c r="N36" s="41"/>
    </row>
    <row r="37" spans="2:14" x14ac:dyDescent="0.25">
      <c r="B37" s="80" t="s">
        <v>45</v>
      </c>
      <c r="C37" s="21" t="s">
        <v>46</v>
      </c>
      <c r="D37" s="21"/>
      <c r="E37" s="23"/>
      <c r="F37" s="23"/>
      <c r="G37" s="41"/>
      <c r="H37" s="26" t="str">
        <f t="shared" ref="H37:H51" si="1">IF(E37="","",F37*G37)</f>
        <v/>
      </c>
      <c r="I37" s="44"/>
      <c r="K37" s="41"/>
      <c r="L37" s="41"/>
      <c r="M37" s="41"/>
      <c r="N37" s="41"/>
    </row>
    <row r="38" spans="2:14" x14ac:dyDescent="0.25">
      <c r="B38" s="53"/>
      <c r="C38" s="15"/>
      <c r="D38" s="15"/>
      <c r="E38" s="23"/>
      <c r="F38" s="23"/>
      <c r="G38" s="41"/>
      <c r="H38" s="26" t="str">
        <f t="shared" si="1"/>
        <v/>
      </c>
      <c r="I38" s="44"/>
      <c r="K38" s="41"/>
      <c r="L38" s="41"/>
      <c r="M38" s="41"/>
      <c r="N38" s="41"/>
    </row>
    <row r="39" spans="2:14" x14ac:dyDescent="0.25">
      <c r="B39" s="53" t="s">
        <v>47</v>
      </c>
      <c r="C39" s="15" t="s">
        <v>48</v>
      </c>
      <c r="D39" s="15"/>
      <c r="E39" s="23"/>
      <c r="F39" s="23"/>
      <c r="G39" s="41"/>
      <c r="H39" s="26" t="str">
        <f t="shared" si="1"/>
        <v/>
      </c>
      <c r="I39" s="44"/>
      <c r="K39" s="41"/>
      <c r="L39" s="41"/>
      <c r="M39" s="41"/>
      <c r="N39" s="41"/>
    </row>
    <row r="40" spans="2:14" x14ac:dyDescent="0.25">
      <c r="B40" s="53"/>
      <c r="C40" s="15"/>
      <c r="D40" s="15"/>
      <c r="E40" s="23"/>
      <c r="F40" s="23"/>
      <c r="G40" s="41"/>
      <c r="H40" s="26" t="str">
        <f t="shared" si="1"/>
        <v/>
      </c>
      <c r="I40" s="44"/>
      <c r="K40" s="41"/>
      <c r="L40" s="41"/>
      <c r="M40" s="41"/>
      <c r="N40" s="41"/>
    </row>
    <row r="41" spans="2:14" x14ac:dyDescent="0.25">
      <c r="B41" s="53" t="s">
        <v>49</v>
      </c>
      <c r="C41" s="15" t="s">
        <v>50</v>
      </c>
      <c r="D41" s="15"/>
      <c r="E41" s="23" t="s">
        <v>302</v>
      </c>
      <c r="F41" s="23">
        <v>600</v>
      </c>
      <c r="G41" s="41"/>
      <c r="H41" s="26">
        <f t="shared" si="1"/>
        <v>0</v>
      </c>
      <c r="I41" s="44"/>
      <c r="K41" s="41"/>
      <c r="L41" s="41"/>
      <c r="M41" s="41"/>
      <c r="N41" s="41"/>
    </row>
    <row r="42" spans="2:14" x14ac:dyDescent="0.25">
      <c r="B42" s="53"/>
      <c r="C42" s="15"/>
      <c r="D42" s="15"/>
      <c r="E42" s="23"/>
      <c r="F42" s="23"/>
      <c r="G42" s="41"/>
      <c r="H42" s="26" t="str">
        <f t="shared" si="1"/>
        <v/>
      </c>
      <c r="I42" s="44"/>
      <c r="K42" s="41"/>
      <c r="L42" s="41"/>
      <c r="M42" s="41"/>
      <c r="N42" s="41"/>
    </row>
    <row r="43" spans="2:14" x14ac:dyDescent="0.25">
      <c r="B43" s="53" t="s">
        <v>51</v>
      </c>
      <c r="C43" s="15" t="s">
        <v>56</v>
      </c>
      <c r="D43" s="15"/>
      <c r="E43" s="23" t="s">
        <v>302</v>
      </c>
      <c r="F43" s="23">
        <v>200</v>
      </c>
      <c r="G43" s="41"/>
      <c r="H43" s="26">
        <f t="shared" si="1"/>
        <v>0</v>
      </c>
      <c r="I43" s="44"/>
      <c r="K43" s="41"/>
      <c r="L43" s="41"/>
      <c r="M43" s="41"/>
      <c r="N43" s="41"/>
    </row>
    <row r="44" spans="2:14" x14ac:dyDescent="0.25">
      <c r="B44" s="53"/>
      <c r="C44" s="15"/>
      <c r="D44" s="15"/>
      <c r="E44" s="23"/>
      <c r="F44" s="23"/>
      <c r="G44" s="41"/>
      <c r="H44" s="26" t="str">
        <f t="shared" si="1"/>
        <v/>
      </c>
      <c r="I44" s="44"/>
      <c r="K44" s="41"/>
      <c r="L44" s="41"/>
      <c r="M44" s="41"/>
      <c r="N44" s="41"/>
    </row>
    <row r="45" spans="2:14" x14ac:dyDescent="0.25">
      <c r="B45" s="53" t="s">
        <v>52</v>
      </c>
      <c r="C45" s="15" t="s">
        <v>57</v>
      </c>
      <c r="D45" s="15"/>
      <c r="E45" s="23" t="s">
        <v>302</v>
      </c>
      <c r="F45" s="23">
        <v>200</v>
      </c>
      <c r="G45" s="41"/>
      <c r="H45" s="26">
        <f t="shared" si="1"/>
        <v>0</v>
      </c>
      <c r="I45" s="44"/>
      <c r="K45" s="41"/>
      <c r="L45" s="41"/>
      <c r="M45" s="41"/>
      <c r="N45" s="41"/>
    </row>
    <row r="46" spans="2:14" x14ac:dyDescent="0.25">
      <c r="B46" s="53"/>
      <c r="C46" s="15"/>
      <c r="D46" s="15"/>
      <c r="E46" s="23"/>
      <c r="F46" s="23"/>
      <c r="G46" s="41"/>
      <c r="H46" s="26" t="str">
        <f t="shared" si="1"/>
        <v/>
      </c>
      <c r="I46" s="44"/>
      <c r="K46" s="41"/>
      <c r="L46" s="41"/>
      <c r="M46" s="41"/>
      <c r="N46" s="41"/>
    </row>
    <row r="47" spans="2:14" x14ac:dyDescent="0.25">
      <c r="B47" s="53" t="s">
        <v>53</v>
      </c>
      <c r="C47" s="15" t="s">
        <v>58</v>
      </c>
      <c r="D47" s="15"/>
      <c r="E47" s="23" t="s">
        <v>302</v>
      </c>
      <c r="F47" s="23">
        <v>200</v>
      </c>
      <c r="G47" s="41"/>
      <c r="H47" s="26">
        <f t="shared" si="1"/>
        <v>0</v>
      </c>
      <c r="I47" s="44"/>
      <c r="K47" s="41"/>
      <c r="L47" s="41"/>
      <c r="M47" s="41"/>
      <c r="N47" s="41"/>
    </row>
    <row r="48" spans="2:14" x14ac:dyDescent="0.25">
      <c r="B48" s="53"/>
      <c r="C48" s="15"/>
      <c r="D48" s="15"/>
      <c r="E48" s="23"/>
      <c r="F48" s="23"/>
      <c r="G48" s="41"/>
      <c r="H48" s="26" t="str">
        <f t="shared" si="1"/>
        <v/>
      </c>
      <c r="I48" s="44"/>
      <c r="K48" s="41"/>
      <c r="L48" s="41"/>
      <c r="M48" s="41"/>
      <c r="N48" s="41"/>
    </row>
    <row r="49" spans="2:14" x14ac:dyDescent="0.25">
      <c r="B49" s="53" t="s">
        <v>54</v>
      </c>
      <c r="C49" s="15" t="s">
        <v>59</v>
      </c>
      <c r="D49" s="15"/>
      <c r="E49" s="23" t="s">
        <v>302</v>
      </c>
      <c r="F49" s="23">
        <v>200</v>
      </c>
      <c r="G49" s="41"/>
      <c r="H49" s="26">
        <f t="shared" si="1"/>
        <v>0</v>
      </c>
      <c r="I49" s="44"/>
      <c r="K49" s="41"/>
      <c r="L49" s="41"/>
      <c r="M49" s="41"/>
      <c r="N49" s="41"/>
    </row>
    <row r="50" spans="2:14" x14ac:dyDescent="0.25">
      <c r="B50" s="53"/>
      <c r="C50" s="15"/>
      <c r="D50" s="15"/>
      <c r="E50" s="23"/>
      <c r="F50" s="23"/>
      <c r="G50" s="41"/>
      <c r="H50" s="26" t="str">
        <f t="shared" si="1"/>
        <v/>
      </c>
      <c r="I50" s="197"/>
      <c r="K50" s="51"/>
      <c r="L50" s="51"/>
      <c r="M50" s="51"/>
      <c r="N50" s="51"/>
    </row>
    <row r="51" spans="2:14" x14ac:dyDescent="0.25">
      <c r="B51" s="53" t="s">
        <v>55</v>
      </c>
      <c r="C51" s="15" t="s">
        <v>60</v>
      </c>
      <c r="D51" s="15"/>
      <c r="E51" s="23" t="s">
        <v>302</v>
      </c>
      <c r="F51" s="23">
        <v>200</v>
      </c>
      <c r="G51" s="51"/>
      <c r="H51" s="196">
        <f t="shared" si="1"/>
        <v>0</v>
      </c>
      <c r="I51" s="197"/>
      <c r="K51" s="51"/>
      <c r="L51" s="51"/>
      <c r="M51" s="51"/>
      <c r="N51" s="51"/>
    </row>
    <row r="52" spans="2:14" x14ac:dyDescent="0.25">
      <c r="B52" s="80"/>
      <c r="C52" s="21"/>
      <c r="D52" s="21"/>
      <c r="E52" s="23"/>
      <c r="F52" s="23"/>
      <c r="G52" s="41"/>
      <c r="H52" s="26"/>
      <c r="I52" s="197"/>
      <c r="K52" s="51"/>
      <c r="L52" s="51"/>
      <c r="M52" s="51"/>
      <c r="N52" s="51"/>
    </row>
    <row r="53" spans="2:14" x14ac:dyDescent="0.25">
      <c r="B53" s="53"/>
      <c r="C53" s="15"/>
      <c r="D53" s="15"/>
      <c r="E53" s="23"/>
      <c r="F53" s="23"/>
      <c r="G53" s="41"/>
      <c r="H53" s="26"/>
      <c r="I53" s="197"/>
      <c r="K53" s="51"/>
      <c r="L53" s="51"/>
      <c r="M53" s="51"/>
      <c r="N53" s="51"/>
    </row>
    <row r="54" spans="2:14" x14ac:dyDescent="0.25">
      <c r="B54" s="53"/>
      <c r="C54" s="29"/>
      <c r="D54" s="147"/>
      <c r="E54" s="40"/>
      <c r="F54" s="40"/>
      <c r="G54" s="41"/>
      <c r="H54" s="26"/>
      <c r="I54" s="44"/>
      <c r="K54" s="41"/>
      <c r="L54" s="41"/>
      <c r="M54" s="41"/>
      <c r="N54" s="41"/>
    </row>
    <row r="55" spans="2:14" x14ac:dyDescent="0.25">
      <c r="B55" s="53"/>
      <c r="C55" s="15"/>
      <c r="D55" s="15"/>
      <c r="E55" s="23"/>
      <c r="F55" s="23"/>
      <c r="G55" s="41"/>
      <c r="H55" s="26" t="str">
        <f>IF(E55="","",F55*G55)</f>
        <v/>
      </c>
      <c r="I55" s="44"/>
      <c r="K55" s="41"/>
      <c r="L55" s="41"/>
      <c r="M55" s="41"/>
      <c r="N55" s="41"/>
    </row>
    <row r="56" spans="2:14" s="31" customFormat="1" ht="20.100000000000001" customHeight="1" x14ac:dyDescent="0.25">
      <c r="B56" s="87" t="str">
        <f>B11</f>
        <v>C1.2</v>
      </c>
      <c r="C56" s="33" t="s">
        <v>12</v>
      </c>
      <c r="D56" s="33"/>
      <c r="E56" s="34"/>
      <c r="F56" s="35"/>
      <c r="G56" s="34"/>
      <c r="H56" s="36">
        <f>SUM(H10:H55)</f>
        <v>0</v>
      </c>
      <c r="I56" s="37"/>
      <c r="J56" s="1"/>
      <c r="K56" s="34"/>
      <c r="L56" s="34"/>
      <c r="M56" s="34"/>
      <c r="N56" s="34"/>
    </row>
    <row r="57" spans="2:14" x14ac:dyDescent="0.25">
      <c r="B57" s="498" t="str">
        <f>Client1</f>
        <v>Province of KwaZulu-Natal</v>
      </c>
      <c r="C57" s="498"/>
      <c r="D57" s="498"/>
      <c r="E57" s="498"/>
      <c r="F57" s="496" t="str">
        <f>"Contract No. "&amp;ContractNo</f>
        <v>Contract No. ZNB02215/00000/00/HOD/INF/23/T</v>
      </c>
      <c r="G57" s="496"/>
      <c r="H57" s="496"/>
    </row>
    <row r="58" spans="2:14" x14ac:dyDescent="0.25">
      <c r="B58" s="498" t="str">
        <f>Client2</f>
        <v>Department of Transport</v>
      </c>
      <c r="C58" s="498"/>
      <c r="D58" s="498"/>
      <c r="E58" s="498"/>
      <c r="F58" s="496"/>
      <c r="G58" s="496"/>
      <c r="H58" s="496"/>
    </row>
    <row r="59" spans="2:14" x14ac:dyDescent="0.25">
      <c r="B59" s="499"/>
      <c r="C59" s="499"/>
      <c r="D59" s="499"/>
      <c r="E59" s="499"/>
      <c r="F59" s="497"/>
      <c r="G59" s="497"/>
      <c r="H59" s="497"/>
    </row>
    <row r="60" spans="2:14" x14ac:dyDescent="0.25">
      <c r="B60" s="507" t="s">
        <v>8</v>
      </c>
      <c r="C60" s="508"/>
      <c r="D60" s="508"/>
      <c r="E60" s="508"/>
      <c r="F60" s="508"/>
      <c r="G60" s="508"/>
      <c r="H60" s="509" t="str">
        <f>H5</f>
        <v>CHAPTER C1.2</v>
      </c>
      <c r="I60" s="6"/>
    </row>
    <row r="61" spans="2:14" x14ac:dyDescent="0.25">
      <c r="B61" s="500" t="str">
        <f>ContractDescription</f>
        <v>UPGRADING OF MAIN ROAD P8/3 FROM GRAVEL TO BLACKTOP BETWEEN KM 17.560 AND KM 24.221 IN THE PIETERMARITZBURG REGION</v>
      </c>
      <c r="C61" s="501"/>
      <c r="D61" s="501"/>
      <c r="E61" s="501"/>
      <c r="F61" s="501"/>
      <c r="G61" s="501"/>
      <c r="H61" s="496"/>
      <c r="I61" s="9"/>
    </row>
    <row r="62" spans="2:14" x14ac:dyDescent="0.25">
      <c r="B62" s="500"/>
      <c r="C62" s="501"/>
      <c r="D62" s="501"/>
      <c r="E62" s="501"/>
      <c r="F62" s="501"/>
      <c r="G62" s="501"/>
      <c r="H62" s="496"/>
      <c r="I62" s="9"/>
    </row>
    <row r="63" spans="2:14" x14ac:dyDescent="0.25">
      <c r="B63" s="502"/>
      <c r="C63" s="503"/>
      <c r="D63" s="503"/>
      <c r="E63" s="503"/>
      <c r="F63" s="503"/>
      <c r="G63" s="503"/>
      <c r="H63" s="497"/>
      <c r="I63" s="9"/>
    </row>
    <row r="64" spans="2:14" s="10" customFormat="1" ht="25.2" customHeight="1" x14ac:dyDescent="0.25">
      <c r="B64" s="81" t="s">
        <v>0</v>
      </c>
      <c r="C64" s="12" t="s">
        <v>1</v>
      </c>
      <c r="D64" s="12" t="s">
        <v>1602</v>
      </c>
      <c r="E64" s="12" t="s">
        <v>2</v>
      </c>
      <c r="F64" s="12" t="s">
        <v>3</v>
      </c>
      <c r="G64" s="12" t="s">
        <v>4</v>
      </c>
      <c r="H64" s="12" t="s">
        <v>5</v>
      </c>
      <c r="I64" s="13"/>
      <c r="J64" s="1"/>
      <c r="K64" s="12"/>
      <c r="L64" s="12"/>
      <c r="M64" s="12"/>
      <c r="N64" s="12"/>
    </row>
    <row r="65" spans="2:14" s="31" customFormat="1" ht="20.100000000000001" customHeight="1" x14ac:dyDescent="0.25">
      <c r="B65" s="87"/>
      <c r="C65" s="33" t="s">
        <v>37</v>
      </c>
      <c r="D65" s="33"/>
      <c r="E65" s="34"/>
      <c r="F65" s="35"/>
      <c r="G65" s="34"/>
      <c r="H65" s="36">
        <f>H56</f>
        <v>0</v>
      </c>
      <c r="I65" s="37"/>
      <c r="J65" s="1"/>
      <c r="K65" s="34"/>
      <c r="L65" s="34"/>
      <c r="M65" s="34"/>
      <c r="N65" s="34"/>
    </row>
    <row r="66" spans="2:14" x14ac:dyDescent="0.25">
      <c r="B66" s="82"/>
      <c r="C66" s="15"/>
      <c r="D66" s="15"/>
      <c r="E66" s="23"/>
      <c r="F66" s="23"/>
      <c r="G66" s="17"/>
      <c r="H66" s="26" t="str">
        <f t="shared" ref="H66" si="2">IF(E66="","",F66*G66)</f>
        <v/>
      </c>
      <c r="I66" s="44"/>
      <c r="K66" s="17"/>
      <c r="L66" s="17"/>
      <c r="M66" s="17"/>
      <c r="N66" s="17"/>
    </row>
    <row r="67" spans="2:14" x14ac:dyDescent="0.25">
      <c r="B67" s="53" t="s">
        <v>61</v>
      </c>
      <c r="C67" s="15" t="s">
        <v>1068</v>
      </c>
      <c r="D67" s="15"/>
      <c r="E67" s="23"/>
      <c r="F67" s="23"/>
      <c r="G67" s="43"/>
      <c r="H67" s="26" t="str">
        <f t="shared" ref="H67:H81" si="3">IF(E67="","",F67*G67)</f>
        <v/>
      </c>
      <c r="I67" s="197"/>
      <c r="K67" s="43"/>
      <c r="L67" s="43"/>
      <c r="M67" s="43"/>
      <c r="N67" s="43"/>
    </row>
    <row r="68" spans="2:14" x14ac:dyDescent="0.25">
      <c r="B68" s="53"/>
      <c r="C68" s="15"/>
      <c r="D68" s="15"/>
      <c r="E68" s="23"/>
      <c r="F68" s="23"/>
      <c r="G68" s="43"/>
      <c r="H68" s="26" t="str">
        <f t="shared" si="3"/>
        <v/>
      </c>
      <c r="I68" s="197"/>
      <c r="K68" s="43"/>
      <c r="L68" s="43"/>
      <c r="M68" s="43"/>
      <c r="N68" s="43"/>
    </row>
    <row r="69" spans="2:14" x14ac:dyDescent="0.25">
      <c r="B69" s="53" t="s">
        <v>49</v>
      </c>
      <c r="C69" s="15" t="s">
        <v>1069</v>
      </c>
      <c r="D69" s="15"/>
      <c r="E69" s="23" t="s">
        <v>302</v>
      </c>
      <c r="F69" s="23">
        <v>50</v>
      </c>
      <c r="G69" s="43"/>
      <c r="H69" s="26">
        <f t="shared" si="3"/>
        <v>0</v>
      </c>
      <c r="I69" s="197"/>
      <c r="K69" s="43"/>
      <c r="L69" s="43"/>
      <c r="M69" s="43"/>
      <c r="N69" s="43"/>
    </row>
    <row r="70" spans="2:14" x14ac:dyDescent="0.25">
      <c r="B70" s="53"/>
      <c r="C70" s="15"/>
      <c r="D70" s="15"/>
      <c r="E70" s="23"/>
      <c r="F70" s="23"/>
      <c r="G70" s="43"/>
      <c r="H70" s="26" t="str">
        <f t="shared" si="3"/>
        <v/>
      </c>
      <c r="I70" s="197"/>
      <c r="K70" s="43"/>
      <c r="L70" s="43"/>
      <c r="M70" s="43"/>
      <c r="N70" s="43"/>
    </row>
    <row r="71" spans="2:14" x14ac:dyDescent="0.25">
      <c r="B71" s="53" t="s">
        <v>51</v>
      </c>
      <c r="C71" s="15" t="s">
        <v>1070</v>
      </c>
      <c r="D71" s="15"/>
      <c r="E71" s="23" t="s">
        <v>302</v>
      </c>
      <c r="F71" s="23">
        <v>50</v>
      </c>
      <c r="G71" s="41"/>
      <c r="H71" s="26">
        <f t="shared" si="3"/>
        <v>0</v>
      </c>
      <c r="I71" s="197"/>
      <c r="K71" s="43"/>
      <c r="L71" s="43"/>
      <c r="M71" s="43"/>
      <c r="N71" s="43"/>
    </row>
    <row r="72" spans="2:14" x14ac:dyDescent="0.25">
      <c r="B72" s="53"/>
      <c r="C72" s="15"/>
      <c r="D72" s="15"/>
      <c r="E72" s="23"/>
      <c r="F72" s="23"/>
      <c r="G72" s="17"/>
      <c r="H72" s="26" t="str">
        <f t="shared" si="3"/>
        <v/>
      </c>
      <c r="I72" s="197"/>
      <c r="K72" s="43"/>
      <c r="L72" s="43"/>
      <c r="M72" s="43"/>
      <c r="N72" s="43"/>
    </row>
    <row r="73" spans="2:14" x14ac:dyDescent="0.25">
      <c r="B73" s="53" t="s">
        <v>52</v>
      </c>
      <c r="C73" s="15" t="s">
        <v>1071</v>
      </c>
      <c r="D73" s="15"/>
      <c r="E73" s="23" t="s">
        <v>302</v>
      </c>
      <c r="F73" s="23">
        <v>50</v>
      </c>
      <c r="G73" s="43"/>
      <c r="H73" s="26">
        <f t="shared" si="3"/>
        <v>0</v>
      </c>
      <c r="I73" s="197"/>
      <c r="K73" s="43"/>
      <c r="L73" s="43"/>
      <c r="M73" s="43"/>
      <c r="N73" s="43"/>
    </row>
    <row r="74" spans="2:14" x14ac:dyDescent="0.25">
      <c r="B74" s="53"/>
      <c r="C74" s="15"/>
      <c r="D74" s="15"/>
      <c r="E74" s="23"/>
      <c r="F74" s="23"/>
      <c r="G74" s="51"/>
      <c r="H74" s="196" t="str">
        <f t="shared" si="3"/>
        <v/>
      </c>
      <c r="I74" s="197"/>
      <c r="K74" s="43"/>
      <c r="L74" s="43"/>
      <c r="M74" s="43"/>
      <c r="N74" s="43"/>
    </row>
    <row r="75" spans="2:14" x14ac:dyDescent="0.25">
      <c r="B75" s="53" t="s">
        <v>53</v>
      </c>
      <c r="C75" s="15" t="s">
        <v>1072</v>
      </c>
      <c r="D75" s="15"/>
      <c r="E75" s="23" t="s">
        <v>302</v>
      </c>
      <c r="F75" s="23">
        <v>50</v>
      </c>
      <c r="G75" s="43"/>
      <c r="H75" s="26">
        <f t="shared" si="3"/>
        <v>0</v>
      </c>
      <c r="I75" s="197"/>
      <c r="K75" s="43"/>
      <c r="L75" s="43"/>
      <c r="M75" s="43"/>
      <c r="N75" s="43"/>
    </row>
    <row r="76" spans="2:14" x14ac:dyDescent="0.25">
      <c r="B76" s="53"/>
      <c r="C76" s="15"/>
      <c r="D76" s="15"/>
      <c r="E76" s="23"/>
      <c r="F76" s="23"/>
      <c r="G76" s="43"/>
      <c r="H76" s="26" t="str">
        <f t="shared" si="3"/>
        <v/>
      </c>
      <c r="I76" s="197"/>
      <c r="K76" s="43"/>
      <c r="L76" s="43"/>
      <c r="M76" s="43"/>
      <c r="N76" s="43"/>
    </row>
    <row r="77" spans="2:14" x14ac:dyDescent="0.25">
      <c r="B77" s="53" t="s">
        <v>54</v>
      </c>
      <c r="C77" s="15" t="s">
        <v>1073</v>
      </c>
      <c r="D77" s="15"/>
      <c r="E77" s="23" t="s">
        <v>302</v>
      </c>
      <c r="F77" s="23">
        <v>50</v>
      </c>
      <c r="G77" s="43"/>
      <c r="H77" s="26">
        <f t="shared" si="3"/>
        <v>0</v>
      </c>
      <c r="I77" s="197"/>
      <c r="K77" s="43"/>
      <c r="L77" s="43"/>
      <c r="M77" s="43"/>
      <c r="N77" s="43"/>
    </row>
    <row r="78" spans="2:14" x14ac:dyDescent="0.25">
      <c r="B78" s="53"/>
      <c r="C78" s="15"/>
      <c r="D78" s="15"/>
      <c r="E78" s="23"/>
      <c r="F78" s="23"/>
      <c r="G78" s="43"/>
      <c r="H78" s="26" t="str">
        <f t="shared" si="3"/>
        <v/>
      </c>
      <c r="I78" s="197"/>
      <c r="K78" s="43"/>
      <c r="L78" s="43"/>
      <c r="M78" s="43"/>
      <c r="N78" s="43"/>
    </row>
    <row r="79" spans="2:14" ht="28.8" x14ac:dyDescent="0.25">
      <c r="B79" s="53" t="s">
        <v>55</v>
      </c>
      <c r="C79" s="15" t="s">
        <v>1074</v>
      </c>
      <c r="D79" s="15"/>
      <c r="E79" s="23" t="s">
        <v>302</v>
      </c>
      <c r="F79" s="23">
        <v>50</v>
      </c>
      <c r="G79" s="43"/>
      <c r="H79" s="26">
        <f t="shared" si="3"/>
        <v>0</v>
      </c>
      <c r="I79" s="197"/>
      <c r="K79" s="43"/>
      <c r="L79" s="43"/>
      <c r="M79" s="43"/>
      <c r="N79" s="43"/>
    </row>
    <row r="80" spans="2:14" x14ac:dyDescent="0.25">
      <c r="B80" s="53"/>
      <c r="C80" s="15"/>
      <c r="D80" s="15"/>
      <c r="E80" s="23"/>
      <c r="F80" s="23"/>
      <c r="G80" s="43"/>
      <c r="H80" s="26" t="str">
        <f t="shared" si="3"/>
        <v/>
      </c>
      <c r="I80" s="197"/>
      <c r="K80" s="43"/>
      <c r="L80" s="43"/>
      <c r="M80" s="43"/>
      <c r="N80" s="43"/>
    </row>
    <row r="81" spans="2:14" x14ac:dyDescent="0.25">
      <c r="B81" s="53" t="s">
        <v>62</v>
      </c>
      <c r="C81" s="15" t="s">
        <v>1077</v>
      </c>
      <c r="D81" s="15"/>
      <c r="E81" s="23" t="s">
        <v>302</v>
      </c>
      <c r="F81" s="23">
        <v>50</v>
      </c>
      <c r="G81" s="43"/>
      <c r="H81" s="26">
        <f t="shared" si="3"/>
        <v>0</v>
      </c>
      <c r="I81" s="44"/>
      <c r="K81" s="43"/>
      <c r="L81" s="43"/>
      <c r="M81" s="43"/>
      <c r="N81" s="43"/>
    </row>
    <row r="82" spans="2:14" x14ac:dyDescent="0.25">
      <c r="B82" s="53"/>
      <c r="C82" s="15"/>
      <c r="D82" s="15"/>
      <c r="E82" s="23"/>
      <c r="F82" s="23"/>
      <c r="G82" s="43"/>
      <c r="H82" s="26"/>
      <c r="I82" s="44"/>
      <c r="K82" s="43"/>
      <c r="L82" s="43"/>
      <c r="M82" s="43"/>
      <c r="N82" s="43"/>
    </row>
    <row r="83" spans="2:14" x14ac:dyDescent="0.25">
      <c r="B83" s="53" t="s">
        <v>340</v>
      </c>
      <c r="C83" s="15" t="s">
        <v>1078</v>
      </c>
      <c r="D83" s="15"/>
      <c r="E83" s="23" t="s">
        <v>302</v>
      </c>
      <c r="F83" s="23">
        <v>50</v>
      </c>
      <c r="G83" s="43"/>
      <c r="H83" s="26">
        <f>IF(E83="","",F83*G83)</f>
        <v>0</v>
      </c>
      <c r="I83" s="44"/>
      <c r="K83" s="43"/>
      <c r="L83" s="43"/>
      <c r="M83" s="43"/>
      <c r="N83" s="43"/>
    </row>
    <row r="84" spans="2:14" x14ac:dyDescent="0.25">
      <c r="B84" s="53"/>
      <c r="C84" s="15"/>
      <c r="D84" s="15"/>
      <c r="E84" s="23"/>
      <c r="F84" s="23"/>
      <c r="G84" s="43"/>
      <c r="H84" s="26"/>
      <c r="I84" s="44"/>
      <c r="K84" s="399"/>
      <c r="L84" s="399"/>
      <c r="M84" s="399"/>
      <c r="N84" s="399"/>
    </row>
    <row r="85" spans="2:14" x14ac:dyDescent="0.25">
      <c r="B85" s="82" t="s">
        <v>63</v>
      </c>
      <c r="C85" s="15" t="s">
        <v>1565</v>
      </c>
      <c r="D85" s="15"/>
      <c r="E85" s="23"/>
      <c r="F85" s="23"/>
      <c r="G85" s="43"/>
      <c r="H85" s="26" t="str">
        <f t="shared" ref="H85:H151" si="4">IF(E85="","",F85*G85)</f>
        <v/>
      </c>
      <c r="I85" s="44"/>
      <c r="K85" s="43"/>
      <c r="L85" s="43"/>
      <c r="M85" s="43"/>
      <c r="N85" s="43"/>
    </row>
    <row r="86" spans="2:14" x14ac:dyDescent="0.25">
      <c r="B86" s="82"/>
      <c r="C86" s="15"/>
      <c r="D86" s="15"/>
      <c r="E86" s="23"/>
      <c r="F86" s="23"/>
      <c r="G86" s="43"/>
      <c r="H86" s="26" t="str">
        <f t="shared" si="4"/>
        <v/>
      </c>
      <c r="I86" s="44"/>
      <c r="K86" s="43"/>
      <c r="L86" s="43"/>
      <c r="M86" s="43"/>
      <c r="N86" s="43"/>
    </row>
    <row r="87" spans="2:14" x14ac:dyDescent="0.25">
      <c r="B87" s="82" t="s">
        <v>49</v>
      </c>
      <c r="C87" s="15" t="s">
        <v>64</v>
      </c>
      <c r="D87" s="15"/>
      <c r="E87" s="23" t="s">
        <v>33</v>
      </c>
      <c r="F87" s="23">
        <v>2000</v>
      </c>
      <c r="G87" s="43"/>
      <c r="H87" s="26">
        <f t="shared" si="4"/>
        <v>0</v>
      </c>
      <c r="I87" s="44"/>
      <c r="K87" s="43"/>
      <c r="L87" s="43"/>
      <c r="M87" s="43"/>
      <c r="N87" s="43"/>
    </row>
    <row r="88" spans="2:14" x14ac:dyDescent="0.25">
      <c r="B88" s="82"/>
      <c r="C88" s="15"/>
      <c r="D88" s="15"/>
      <c r="E88" s="23"/>
      <c r="F88" s="23"/>
      <c r="G88" s="43"/>
      <c r="H88" s="26" t="str">
        <f t="shared" si="4"/>
        <v/>
      </c>
      <c r="I88" s="44"/>
      <c r="K88" s="43"/>
      <c r="L88" s="43"/>
      <c r="M88" s="43"/>
      <c r="N88" s="43"/>
    </row>
    <row r="89" spans="2:14" x14ac:dyDescent="0.25">
      <c r="B89" s="82" t="s">
        <v>51</v>
      </c>
      <c r="C89" s="15" t="s">
        <v>1076</v>
      </c>
      <c r="D89" s="15"/>
      <c r="E89" s="23" t="s">
        <v>33</v>
      </c>
      <c r="F89" s="23">
        <v>1500</v>
      </c>
      <c r="G89" s="43"/>
      <c r="H89" s="26">
        <f t="shared" si="4"/>
        <v>0</v>
      </c>
      <c r="I89" s="44"/>
      <c r="K89" s="43"/>
      <c r="L89" s="43"/>
      <c r="M89" s="43"/>
      <c r="N89" s="43"/>
    </row>
    <row r="90" spans="2:14" x14ac:dyDescent="0.25">
      <c r="B90" s="82"/>
      <c r="C90" s="15"/>
      <c r="D90" s="15"/>
      <c r="E90" s="23"/>
      <c r="F90" s="23"/>
      <c r="G90" s="43"/>
      <c r="H90" s="26" t="str">
        <f t="shared" si="4"/>
        <v/>
      </c>
      <c r="I90" s="44"/>
      <c r="K90" s="43"/>
      <c r="L90" s="43"/>
      <c r="M90" s="43"/>
      <c r="N90" s="43"/>
    </row>
    <row r="91" spans="2:14" ht="15.6" x14ac:dyDescent="0.25">
      <c r="B91" s="82" t="s">
        <v>65</v>
      </c>
      <c r="C91" s="15" t="s">
        <v>1075</v>
      </c>
      <c r="D91" s="15"/>
      <c r="E91" s="23" t="s">
        <v>33</v>
      </c>
      <c r="F91" s="23">
        <v>1500</v>
      </c>
      <c r="G91" s="43"/>
      <c r="H91" s="26">
        <f t="shared" si="4"/>
        <v>0</v>
      </c>
      <c r="I91" s="44"/>
      <c r="K91" s="43"/>
      <c r="L91" s="43"/>
      <c r="M91" s="43"/>
      <c r="N91" s="43"/>
    </row>
    <row r="92" spans="2:14" x14ac:dyDescent="0.25">
      <c r="B92" s="82"/>
      <c r="C92" s="15"/>
      <c r="D92" s="15"/>
      <c r="E92" s="23"/>
      <c r="F92" s="23"/>
      <c r="G92" s="43"/>
      <c r="H92" s="26" t="str">
        <f t="shared" si="4"/>
        <v/>
      </c>
      <c r="I92" s="44"/>
      <c r="K92" s="43"/>
      <c r="L92" s="43"/>
      <c r="M92" s="43"/>
      <c r="N92" s="43"/>
    </row>
    <row r="93" spans="2:14" x14ac:dyDescent="0.25">
      <c r="B93" s="82" t="s">
        <v>53</v>
      </c>
      <c r="C93" s="15" t="s">
        <v>1079</v>
      </c>
      <c r="D93" s="15"/>
      <c r="E93" s="23" t="s">
        <v>33</v>
      </c>
      <c r="F93" s="23">
        <v>1500</v>
      </c>
      <c r="G93" s="43"/>
      <c r="H93" s="26">
        <f t="shared" si="4"/>
        <v>0</v>
      </c>
      <c r="I93" s="44"/>
      <c r="K93" s="43"/>
      <c r="L93" s="43"/>
      <c r="M93" s="43"/>
      <c r="N93" s="43"/>
    </row>
    <row r="94" spans="2:14" x14ac:dyDescent="0.25">
      <c r="B94" s="82"/>
      <c r="C94" s="15"/>
      <c r="D94" s="15"/>
      <c r="E94" s="23"/>
      <c r="F94" s="23"/>
      <c r="G94" s="43"/>
      <c r="H94" s="26" t="str">
        <f t="shared" si="4"/>
        <v/>
      </c>
      <c r="I94" s="44"/>
      <c r="K94" s="43"/>
      <c r="L94" s="43"/>
      <c r="M94" s="43"/>
      <c r="N94" s="43"/>
    </row>
    <row r="95" spans="2:14" x14ac:dyDescent="0.25">
      <c r="B95" s="82" t="s">
        <v>66</v>
      </c>
      <c r="C95" s="15" t="s">
        <v>67</v>
      </c>
      <c r="D95" s="15"/>
      <c r="E95" s="23"/>
      <c r="F95" s="23"/>
      <c r="G95" s="43"/>
      <c r="H95" s="26" t="str">
        <f t="shared" si="4"/>
        <v/>
      </c>
      <c r="I95" s="44"/>
      <c r="K95" s="43"/>
      <c r="L95" s="43"/>
      <c r="M95" s="43"/>
      <c r="N95" s="43"/>
    </row>
    <row r="96" spans="2:14" x14ac:dyDescent="0.25">
      <c r="B96" s="82"/>
      <c r="C96" s="15"/>
      <c r="D96" s="15"/>
      <c r="E96" s="23"/>
      <c r="F96" s="23"/>
      <c r="G96" s="43"/>
      <c r="H96" s="26" t="str">
        <f t="shared" si="4"/>
        <v/>
      </c>
      <c r="I96" s="44"/>
      <c r="K96" s="43"/>
      <c r="L96" s="43"/>
      <c r="M96" s="43"/>
      <c r="N96" s="43"/>
    </row>
    <row r="97" spans="2:14" x14ac:dyDescent="0.25">
      <c r="B97" s="82" t="s">
        <v>49</v>
      </c>
      <c r="C97" s="15" t="s">
        <v>68</v>
      </c>
      <c r="D97" s="15"/>
      <c r="E97" s="23" t="s">
        <v>648</v>
      </c>
      <c r="F97" s="23">
        <v>100000</v>
      </c>
      <c r="G97" s="43">
        <v>1</v>
      </c>
      <c r="H97" s="26">
        <f t="shared" si="4"/>
        <v>100000</v>
      </c>
      <c r="I97" s="44"/>
      <c r="K97" s="43"/>
      <c r="L97" s="43"/>
      <c r="M97" s="43"/>
      <c r="N97" s="43"/>
    </row>
    <row r="98" spans="2:14" x14ac:dyDescent="0.25">
      <c r="B98" s="82"/>
      <c r="C98" s="15"/>
      <c r="D98" s="15"/>
      <c r="E98" s="23"/>
      <c r="F98" s="23" t="s">
        <v>567</v>
      </c>
      <c r="G98" s="43"/>
      <c r="H98" s="26" t="str">
        <f t="shared" si="4"/>
        <v/>
      </c>
      <c r="I98" s="44"/>
      <c r="K98" s="43"/>
      <c r="L98" s="43"/>
      <c r="M98" s="43"/>
      <c r="N98" s="43"/>
    </row>
    <row r="99" spans="2:14" ht="26.4" x14ac:dyDescent="0.25">
      <c r="B99" s="82" t="s">
        <v>51</v>
      </c>
      <c r="C99" s="15" t="s">
        <v>69</v>
      </c>
      <c r="D99" s="15"/>
      <c r="E99" s="23" t="s">
        <v>36</v>
      </c>
      <c r="F99" s="198">
        <f>H97</f>
        <v>100000</v>
      </c>
      <c r="G99" s="399"/>
      <c r="H99" s="26">
        <f t="shared" si="4"/>
        <v>0</v>
      </c>
      <c r="I99" s="44"/>
      <c r="K99" s="43"/>
      <c r="L99" s="43"/>
      <c r="M99" s="43"/>
      <c r="N99" s="43"/>
    </row>
    <row r="100" spans="2:14" x14ac:dyDescent="0.25">
      <c r="B100" s="82"/>
      <c r="C100" s="15"/>
      <c r="D100" s="15"/>
      <c r="E100" s="23"/>
      <c r="F100" s="23"/>
      <c r="G100" s="43"/>
      <c r="H100" s="26" t="str">
        <f t="shared" si="4"/>
        <v/>
      </c>
      <c r="I100" s="44"/>
      <c r="K100" s="43"/>
      <c r="L100" s="43"/>
      <c r="M100" s="43"/>
      <c r="N100" s="43"/>
    </row>
    <row r="101" spans="2:14" x14ac:dyDescent="0.25">
      <c r="B101" s="82" t="s">
        <v>1524</v>
      </c>
      <c r="C101" s="467" t="s">
        <v>1525</v>
      </c>
      <c r="D101" s="467"/>
      <c r="E101" s="23"/>
      <c r="F101" s="23"/>
      <c r="G101" s="468"/>
      <c r="H101" s="26" t="str">
        <f t="shared" si="4"/>
        <v/>
      </c>
      <c r="I101" s="44"/>
      <c r="K101" s="43"/>
      <c r="L101" s="43"/>
      <c r="M101" s="43"/>
      <c r="N101" s="43"/>
    </row>
    <row r="102" spans="2:14" x14ac:dyDescent="0.25">
      <c r="B102" s="82"/>
      <c r="C102" s="15"/>
      <c r="D102" s="15"/>
      <c r="E102" s="23"/>
      <c r="F102" s="23"/>
      <c r="G102" s="468">
        <v>1</v>
      </c>
      <c r="H102" s="26" t="str">
        <f t="shared" si="4"/>
        <v/>
      </c>
      <c r="I102" s="44"/>
      <c r="K102" s="43"/>
      <c r="L102" s="43"/>
      <c r="M102" s="43"/>
      <c r="N102" s="43"/>
    </row>
    <row r="103" spans="2:14" x14ac:dyDescent="0.25">
      <c r="B103" s="82"/>
      <c r="C103" s="15" t="s">
        <v>1526</v>
      </c>
      <c r="D103" s="15"/>
      <c r="E103" s="23" t="s">
        <v>649</v>
      </c>
      <c r="F103" s="23">
        <v>470000</v>
      </c>
      <c r="G103" s="43">
        <v>1</v>
      </c>
      <c r="H103" s="26">
        <f t="shared" si="4"/>
        <v>470000</v>
      </c>
      <c r="I103" s="44"/>
      <c r="K103" s="43"/>
      <c r="L103" s="43"/>
      <c r="M103" s="43"/>
      <c r="N103" s="43"/>
    </row>
    <row r="104" spans="2:14" x14ac:dyDescent="0.25">
      <c r="B104" s="82"/>
      <c r="C104" s="15"/>
      <c r="D104" s="15"/>
      <c r="E104" s="23"/>
      <c r="F104" s="23"/>
      <c r="G104" s="43"/>
      <c r="H104" s="26" t="str">
        <f t="shared" si="4"/>
        <v/>
      </c>
      <c r="I104" s="44"/>
      <c r="K104" s="43"/>
      <c r="L104" s="43"/>
      <c r="M104" s="43"/>
      <c r="N104" s="43"/>
    </row>
    <row r="105" spans="2:14" ht="26.4" x14ac:dyDescent="0.25">
      <c r="B105" s="82"/>
      <c r="C105" s="15" t="s">
        <v>1527</v>
      </c>
      <c r="D105" s="15"/>
      <c r="E105" s="23" t="s">
        <v>36</v>
      </c>
      <c r="F105" s="23">
        <f>F103</f>
        <v>470000</v>
      </c>
      <c r="G105" s="399"/>
      <c r="H105" s="26">
        <f t="shared" si="4"/>
        <v>0</v>
      </c>
      <c r="I105" s="44"/>
      <c r="K105" s="43"/>
      <c r="L105" s="43"/>
      <c r="M105" s="43"/>
      <c r="N105" s="43"/>
    </row>
    <row r="106" spans="2:14" s="31" customFormat="1" ht="20.100000000000001" customHeight="1" x14ac:dyDescent="0.25">
      <c r="B106" s="87" t="str">
        <f>B61</f>
        <v>UPGRADING OF MAIN ROAD P8/3 FROM GRAVEL TO BLACKTOP BETWEEN KM 17.560 AND KM 24.221 IN THE PIETERMARITZBURG REGION</v>
      </c>
      <c r="C106" s="33" t="s">
        <v>12</v>
      </c>
      <c r="D106" s="33"/>
      <c r="E106" s="34"/>
      <c r="F106" s="35"/>
      <c r="G106" s="34"/>
      <c r="H106" s="36">
        <f>SUM(H65:H105)</f>
        <v>570000</v>
      </c>
      <c r="I106" s="37"/>
      <c r="J106" s="1"/>
      <c r="K106" s="34"/>
      <c r="L106" s="34"/>
      <c r="M106" s="34"/>
      <c r="N106" s="34"/>
    </row>
    <row r="107" spans="2:14" x14ac:dyDescent="0.25">
      <c r="B107" s="498" t="str">
        <f>Client1</f>
        <v>Province of KwaZulu-Natal</v>
      </c>
      <c r="C107" s="498"/>
      <c r="D107" s="498"/>
      <c r="E107" s="498"/>
      <c r="F107" s="496" t="str">
        <f>"Contract No. "&amp;ContractNo</f>
        <v>Contract No. ZNB02215/00000/00/HOD/INF/23/T</v>
      </c>
      <c r="G107" s="496"/>
      <c r="H107" s="496"/>
    </row>
    <row r="108" spans="2:14" x14ac:dyDescent="0.25">
      <c r="B108" s="498" t="str">
        <f>Client2</f>
        <v>Department of Transport</v>
      </c>
      <c r="C108" s="498"/>
      <c r="D108" s="498"/>
      <c r="E108" s="498"/>
      <c r="F108" s="496"/>
      <c r="G108" s="496"/>
      <c r="H108" s="496"/>
    </row>
    <row r="109" spans="2:14" x14ac:dyDescent="0.25">
      <c r="B109" s="499"/>
      <c r="C109" s="499"/>
      <c r="D109" s="499"/>
      <c r="E109" s="499"/>
      <c r="F109" s="497"/>
      <c r="G109" s="497"/>
      <c r="H109" s="497"/>
    </row>
    <row r="110" spans="2:14" x14ac:dyDescent="0.25">
      <c r="B110" s="507" t="s">
        <v>8</v>
      </c>
      <c r="C110" s="508"/>
      <c r="D110" s="508"/>
      <c r="E110" s="508"/>
      <c r="F110" s="508"/>
      <c r="G110" s="508"/>
      <c r="H110" s="509" t="str">
        <f>H55</f>
        <v/>
      </c>
      <c r="I110" s="6"/>
    </row>
    <row r="111" spans="2:14" x14ac:dyDescent="0.25">
      <c r="B111" s="500" t="str">
        <f>ContractDescription</f>
        <v>UPGRADING OF MAIN ROAD P8/3 FROM GRAVEL TO BLACKTOP BETWEEN KM 17.560 AND KM 24.221 IN THE PIETERMARITZBURG REGION</v>
      </c>
      <c r="C111" s="501"/>
      <c r="D111" s="501"/>
      <c r="E111" s="501"/>
      <c r="F111" s="501"/>
      <c r="G111" s="501"/>
      <c r="H111" s="496"/>
      <c r="I111" s="9"/>
    </row>
    <row r="112" spans="2:14" x14ac:dyDescent="0.25">
      <c r="B112" s="500"/>
      <c r="C112" s="501"/>
      <c r="D112" s="501"/>
      <c r="E112" s="501"/>
      <c r="F112" s="501"/>
      <c r="G112" s="501"/>
      <c r="H112" s="496"/>
      <c r="I112" s="9"/>
    </row>
    <row r="113" spans="2:14" x14ac:dyDescent="0.25">
      <c r="B113" s="502"/>
      <c r="C113" s="503"/>
      <c r="D113" s="503"/>
      <c r="E113" s="503"/>
      <c r="F113" s="503"/>
      <c r="G113" s="503"/>
      <c r="H113" s="497"/>
      <c r="I113" s="9"/>
    </row>
    <row r="114" spans="2:14" s="10" customFormat="1" ht="25.2" customHeight="1" x14ac:dyDescent="0.25">
      <c r="B114" s="81" t="s">
        <v>0</v>
      </c>
      <c r="C114" s="12" t="s">
        <v>1</v>
      </c>
      <c r="D114" s="12" t="s">
        <v>1602</v>
      </c>
      <c r="E114" s="12" t="s">
        <v>2</v>
      </c>
      <c r="F114" s="12" t="s">
        <v>3</v>
      </c>
      <c r="G114" s="12" t="s">
        <v>4</v>
      </c>
      <c r="H114" s="12" t="s">
        <v>5</v>
      </c>
      <c r="I114" s="13"/>
      <c r="J114" s="1"/>
      <c r="K114" s="12"/>
      <c r="L114" s="12"/>
      <c r="M114" s="12"/>
      <c r="N114" s="12"/>
    </row>
    <row r="115" spans="2:14" s="31" customFormat="1" ht="20.100000000000001" customHeight="1" x14ac:dyDescent="0.25">
      <c r="B115" s="87"/>
      <c r="C115" s="33" t="s">
        <v>37</v>
      </c>
      <c r="D115" s="33"/>
      <c r="E115" s="34"/>
      <c r="F115" s="35"/>
      <c r="G115" s="34"/>
      <c r="H115" s="36">
        <f>H106</f>
        <v>570000</v>
      </c>
      <c r="I115" s="37"/>
      <c r="J115" s="1"/>
      <c r="K115" s="34"/>
      <c r="L115" s="34"/>
      <c r="M115" s="34"/>
      <c r="N115" s="34"/>
    </row>
    <row r="116" spans="2:14" ht="39.6" x14ac:dyDescent="0.25">
      <c r="B116" s="82" t="s">
        <v>1566</v>
      </c>
      <c r="C116" s="467" t="s">
        <v>1567</v>
      </c>
      <c r="D116" s="467"/>
      <c r="E116" s="23"/>
      <c r="F116" s="23"/>
      <c r="G116" s="468"/>
      <c r="H116" s="26" t="str">
        <f t="shared" si="4"/>
        <v/>
      </c>
      <c r="I116" s="44"/>
      <c r="K116" s="43"/>
      <c r="L116" s="43"/>
      <c r="M116" s="43"/>
      <c r="N116" s="43"/>
    </row>
    <row r="117" spans="2:14" x14ac:dyDescent="0.25">
      <c r="B117" s="82"/>
      <c r="C117" s="15"/>
      <c r="D117" s="15"/>
      <c r="E117" s="23"/>
      <c r="F117" s="23"/>
      <c r="G117" s="468"/>
      <c r="H117" s="26" t="str">
        <f t="shared" si="4"/>
        <v/>
      </c>
      <c r="I117" s="44"/>
      <c r="K117" s="43"/>
      <c r="L117" s="43"/>
      <c r="M117" s="43"/>
      <c r="N117" s="43"/>
    </row>
    <row r="118" spans="2:14" x14ac:dyDescent="0.25">
      <c r="B118" s="82" t="s">
        <v>1568</v>
      </c>
      <c r="C118" s="15" t="s">
        <v>1569</v>
      </c>
      <c r="D118" s="15"/>
      <c r="E118" s="23" t="s">
        <v>648</v>
      </c>
      <c r="F118" s="23">
        <v>50000</v>
      </c>
      <c r="G118" s="43">
        <v>1</v>
      </c>
      <c r="H118" s="26">
        <f t="shared" si="4"/>
        <v>50000</v>
      </c>
      <c r="I118" s="44"/>
      <c r="K118" s="43"/>
      <c r="L118" s="43"/>
      <c r="M118" s="43"/>
      <c r="N118" s="43"/>
    </row>
    <row r="119" spans="2:14" x14ac:dyDescent="0.25">
      <c r="B119" s="82"/>
      <c r="C119" s="15"/>
      <c r="D119" s="15"/>
      <c r="E119" s="23"/>
      <c r="F119" s="23"/>
      <c r="G119" s="43"/>
      <c r="H119" s="26" t="str">
        <f t="shared" si="4"/>
        <v/>
      </c>
      <c r="I119" s="44"/>
      <c r="K119" s="43"/>
      <c r="L119" s="43"/>
      <c r="M119" s="43"/>
      <c r="N119" s="43"/>
    </row>
    <row r="120" spans="2:14" ht="26.4" x14ac:dyDescent="0.25">
      <c r="B120" s="82"/>
      <c r="C120" s="15" t="s">
        <v>1570</v>
      </c>
      <c r="D120" s="15"/>
      <c r="E120" s="23" t="s">
        <v>36</v>
      </c>
      <c r="F120" s="23">
        <v>50000</v>
      </c>
      <c r="G120" s="399"/>
      <c r="H120" s="26">
        <f t="shared" si="4"/>
        <v>0</v>
      </c>
      <c r="I120" s="44"/>
      <c r="K120" s="43"/>
      <c r="L120" s="43"/>
      <c r="M120" s="43"/>
      <c r="N120" s="43"/>
    </row>
    <row r="121" spans="2:14" x14ac:dyDescent="0.25">
      <c r="B121" s="82"/>
      <c r="C121" s="15"/>
      <c r="D121" s="15"/>
      <c r="E121" s="23"/>
      <c r="F121" s="23"/>
      <c r="G121" s="43"/>
      <c r="H121" s="26" t="str">
        <f t="shared" si="4"/>
        <v/>
      </c>
      <c r="I121" s="44"/>
      <c r="K121" s="43"/>
      <c r="L121" s="43"/>
      <c r="M121" s="43"/>
      <c r="N121" s="43"/>
    </row>
    <row r="122" spans="2:14" x14ac:dyDescent="0.25">
      <c r="B122" s="82" t="s">
        <v>1571</v>
      </c>
      <c r="C122" s="15" t="s">
        <v>1572</v>
      </c>
      <c r="D122" s="15"/>
      <c r="E122" s="23" t="s">
        <v>648</v>
      </c>
      <c r="F122" s="23">
        <v>10000</v>
      </c>
      <c r="G122" s="43">
        <v>1</v>
      </c>
      <c r="H122" s="26">
        <f t="shared" si="4"/>
        <v>10000</v>
      </c>
      <c r="I122" s="44"/>
      <c r="K122" s="43"/>
      <c r="L122" s="43"/>
      <c r="M122" s="43"/>
      <c r="N122" s="43"/>
    </row>
    <row r="123" spans="2:14" x14ac:dyDescent="0.25">
      <c r="B123" s="82"/>
      <c r="C123" s="15"/>
      <c r="D123" s="15"/>
      <c r="E123" s="23"/>
      <c r="F123" s="23"/>
      <c r="G123" s="43"/>
      <c r="H123" s="26" t="str">
        <f t="shared" si="4"/>
        <v/>
      </c>
      <c r="I123" s="44"/>
      <c r="K123" s="43"/>
      <c r="L123" s="43"/>
      <c r="M123" s="43"/>
      <c r="N123" s="43"/>
    </row>
    <row r="124" spans="2:14" ht="26.4" x14ac:dyDescent="0.25">
      <c r="B124" s="82"/>
      <c r="C124" s="15" t="s">
        <v>1573</v>
      </c>
      <c r="D124" s="15"/>
      <c r="E124" s="23" t="s">
        <v>36</v>
      </c>
      <c r="F124" s="23">
        <v>10000</v>
      </c>
      <c r="G124" s="399"/>
      <c r="H124" s="26">
        <f t="shared" si="4"/>
        <v>0</v>
      </c>
      <c r="I124" s="44"/>
      <c r="K124" s="43"/>
      <c r="L124" s="43"/>
      <c r="M124" s="43"/>
      <c r="N124" s="43"/>
    </row>
    <row r="125" spans="2:14" x14ac:dyDescent="0.25">
      <c r="B125" s="82"/>
      <c r="C125" s="15"/>
      <c r="D125" s="15"/>
      <c r="E125" s="23"/>
      <c r="F125" s="23"/>
      <c r="G125" s="43"/>
      <c r="H125" s="26" t="str">
        <f t="shared" si="4"/>
        <v/>
      </c>
      <c r="I125" s="44"/>
      <c r="K125" s="43"/>
      <c r="L125" s="43"/>
      <c r="M125" s="43"/>
      <c r="N125" s="43"/>
    </row>
    <row r="126" spans="2:14" x14ac:dyDescent="0.25">
      <c r="B126" s="82" t="s">
        <v>1574</v>
      </c>
      <c r="C126" s="15" t="s">
        <v>1575</v>
      </c>
      <c r="D126" s="15"/>
      <c r="E126" s="23" t="s">
        <v>648</v>
      </c>
      <c r="F126" s="23">
        <v>10000</v>
      </c>
      <c r="G126" s="43">
        <v>1</v>
      </c>
      <c r="H126" s="26">
        <f t="shared" si="4"/>
        <v>10000</v>
      </c>
      <c r="I126" s="44"/>
      <c r="K126" s="43"/>
      <c r="L126" s="43"/>
      <c r="M126" s="43"/>
      <c r="N126" s="43"/>
    </row>
    <row r="127" spans="2:14" x14ac:dyDescent="0.25">
      <c r="B127" s="82"/>
      <c r="C127" s="15"/>
      <c r="D127" s="15"/>
      <c r="E127" s="23"/>
      <c r="F127" s="23"/>
      <c r="G127" s="43"/>
      <c r="H127" s="26" t="str">
        <f t="shared" si="4"/>
        <v/>
      </c>
      <c r="I127" s="44"/>
      <c r="K127" s="43"/>
      <c r="L127" s="43"/>
      <c r="M127" s="43"/>
      <c r="N127" s="43"/>
    </row>
    <row r="128" spans="2:14" ht="26.4" x14ac:dyDescent="0.25">
      <c r="B128" s="82"/>
      <c r="C128" s="15" t="s">
        <v>1576</v>
      </c>
      <c r="D128" s="15"/>
      <c r="E128" s="23" t="s">
        <v>36</v>
      </c>
      <c r="F128" s="23">
        <v>10000</v>
      </c>
      <c r="G128" s="399"/>
      <c r="H128" s="26">
        <f t="shared" si="4"/>
        <v>0</v>
      </c>
      <c r="I128" s="44"/>
      <c r="K128" s="43"/>
      <c r="L128" s="43"/>
      <c r="M128" s="43"/>
      <c r="N128" s="43"/>
    </row>
    <row r="129" spans="2:14" x14ac:dyDescent="0.25">
      <c r="B129" s="82"/>
      <c r="C129" s="15"/>
      <c r="D129" s="15"/>
      <c r="E129" s="23"/>
      <c r="F129" s="23"/>
      <c r="G129" s="43"/>
      <c r="H129" s="26" t="str">
        <f t="shared" si="4"/>
        <v/>
      </c>
      <c r="I129" s="44"/>
      <c r="K129" s="43"/>
      <c r="L129" s="43"/>
      <c r="M129" s="43"/>
      <c r="N129" s="43"/>
    </row>
    <row r="130" spans="2:14" x14ac:dyDescent="0.25">
      <c r="B130" s="82" t="s">
        <v>1577</v>
      </c>
      <c r="C130" s="15" t="s">
        <v>1578</v>
      </c>
      <c r="D130" s="15"/>
      <c r="E130" s="23" t="s">
        <v>648</v>
      </c>
      <c r="F130" s="23">
        <v>20000</v>
      </c>
      <c r="G130" s="43">
        <v>1</v>
      </c>
      <c r="H130" s="26">
        <f t="shared" si="4"/>
        <v>20000</v>
      </c>
      <c r="I130" s="44"/>
      <c r="K130" s="43"/>
      <c r="L130" s="43"/>
      <c r="M130" s="43"/>
      <c r="N130" s="43"/>
    </row>
    <row r="131" spans="2:14" x14ac:dyDescent="0.25">
      <c r="B131" s="82"/>
      <c r="C131" s="15"/>
      <c r="D131" s="15"/>
      <c r="E131" s="23"/>
      <c r="F131" s="23"/>
      <c r="G131" s="43"/>
      <c r="H131" s="26" t="str">
        <f t="shared" si="4"/>
        <v/>
      </c>
      <c r="I131" s="44"/>
      <c r="K131" s="43"/>
      <c r="L131" s="43"/>
      <c r="M131" s="43"/>
      <c r="N131" s="43"/>
    </row>
    <row r="132" spans="2:14" ht="13.2" customHeight="1" x14ac:dyDescent="0.25">
      <c r="B132" s="82"/>
      <c r="C132" s="15" t="s">
        <v>1579</v>
      </c>
      <c r="D132" s="15"/>
      <c r="E132" s="23" t="s">
        <v>36</v>
      </c>
      <c r="F132" s="23">
        <v>20000</v>
      </c>
      <c r="G132" s="399"/>
      <c r="H132" s="26">
        <f t="shared" si="4"/>
        <v>0</v>
      </c>
      <c r="I132" s="44"/>
      <c r="K132" s="43"/>
      <c r="L132" s="43"/>
      <c r="M132" s="43"/>
      <c r="N132" s="43"/>
    </row>
    <row r="133" spans="2:14" x14ac:dyDescent="0.25">
      <c r="B133" s="82"/>
      <c r="C133" s="15"/>
      <c r="D133" s="15"/>
      <c r="E133" s="23"/>
      <c r="F133" s="23"/>
      <c r="G133" s="43"/>
      <c r="H133" s="26" t="str">
        <f t="shared" si="4"/>
        <v/>
      </c>
      <c r="I133" s="44"/>
      <c r="K133" s="43"/>
      <c r="L133" s="43"/>
      <c r="M133" s="43"/>
      <c r="N133" s="43"/>
    </row>
    <row r="134" spans="2:14" x14ac:dyDescent="0.25">
      <c r="B134" s="82" t="s">
        <v>1580</v>
      </c>
      <c r="C134" s="15" t="s">
        <v>1581</v>
      </c>
      <c r="D134" s="15"/>
      <c r="E134" s="23" t="s">
        <v>648</v>
      </c>
      <c r="F134" s="23">
        <v>10000</v>
      </c>
      <c r="G134" s="43">
        <v>1</v>
      </c>
      <c r="H134" s="26">
        <f t="shared" si="4"/>
        <v>10000</v>
      </c>
      <c r="I134" s="44"/>
      <c r="K134" s="43"/>
      <c r="L134" s="43"/>
      <c r="M134" s="43"/>
      <c r="N134" s="43"/>
    </row>
    <row r="135" spans="2:14" x14ac:dyDescent="0.25">
      <c r="B135" s="82"/>
      <c r="C135" s="15"/>
      <c r="D135" s="15"/>
      <c r="E135" s="23"/>
      <c r="F135" s="23"/>
      <c r="G135" s="43"/>
      <c r="H135" s="26" t="str">
        <f t="shared" si="4"/>
        <v/>
      </c>
      <c r="I135" s="44"/>
      <c r="K135" s="43"/>
      <c r="L135" s="43"/>
      <c r="M135" s="43"/>
      <c r="N135" s="43"/>
    </row>
    <row r="136" spans="2:14" ht="13.2" customHeight="1" x14ac:dyDescent="0.25">
      <c r="B136" s="82"/>
      <c r="C136" s="15" t="s">
        <v>1582</v>
      </c>
      <c r="D136" s="15"/>
      <c r="E136" s="23" t="s">
        <v>36</v>
      </c>
      <c r="F136" s="23">
        <v>10000</v>
      </c>
      <c r="G136" s="399"/>
      <c r="H136" s="26">
        <f t="shared" si="4"/>
        <v>0</v>
      </c>
      <c r="I136" s="44"/>
      <c r="K136" s="43"/>
      <c r="L136" s="43"/>
      <c r="M136" s="43"/>
      <c r="N136" s="43"/>
    </row>
    <row r="137" spans="2:14" x14ac:dyDescent="0.25">
      <c r="B137" s="82"/>
      <c r="C137" s="15"/>
      <c r="D137" s="15"/>
      <c r="E137" s="23"/>
      <c r="F137" s="23"/>
      <c r="G137" s="43"/>
      <c r="H137" s="26" t="str">
        <f t="shared" si="4"/>
        <v/>
      </c>
      <c r="I137" s="44"/>
      <c r="K137" s="43"/>
      <c r="L137" s="43"/>
      <c r="M137" s="43"/>
      <c r="N137" s="43"/>
    </row>
    <row r="138" spans="2:14" x14ac:dyDescent="0.25">
      <c r="B138" s="82" t="s">
        <v>1583</v>
      </c>
      <c r="C138" s="15" t="s">
        <v>1584</v>
      </c>
      <c r="D138" s="15"/>
      <c r="E138" s="23" t="s">
        <v>648</v>
      </c>
      <c r="F138" s="23">
        <v>20000</v>
      </c>
      <c r="G138" s="43">
        <v>1</v>
      </c>
      <c r="H138" s="26">
        <f t="shared" si="4"/>
        <v>20000</v>
      </c>
      <c r="I138" s="44"/>
      <c r="K138" s="43"/>
      <c r="L138" s="43"/>
      <c r="M138" s="43"/>
      <c r="N138" s="43"/>
    </row>
    <row r="139" spans="2:14" x14ac:dyDescent="0.25">
      <c r="B139" s="82"/>
      <c r="C139" s="15"/>
      <c r="D139" s="15"/>
      <c r="E139" s="23"/>
      <c r="F139" s="23"/>
      <c r="G139" s="43"/>
      <c r="H139" s="26" t="str">
        <f t="shared" si="4"/>
        <v/>
      </c>
      <c r="I139" s="44"/>
      <c r="K139" s="43"/>
      <c r="L139" s="43"/>
      <c r="M139" s="43"/>
      <c r="N139" s="43"/>
    </row>
    <row r="140" spans="2:14" ht="13.2" customHeight="1" x14ac:dyDescent="0.25">
      <c r="B140" s="82"/>
      <c r="C140" s="15" t="s">
        <v>1585</v>
      </c>
      <c r="D140" s="15"/>
      <c r="E140" s="23" t="s">
        <v>36</v>
      </c>
      <c r="F140" s="23">
        <v>20000</v>
      </c>
      <c r="G140" s="399"/>
      <c r="H140" s="26">
        <f t="shared" si="4"/>
        <v>0</v>
      </c>
      <c r="I140" s="44"/>
      <c r="K140" s="43"/>
      <c r="L140" s="43"/>
      <c r="M140" s="43"/>
      <c r="N140" s="43"/>
    </row>
    <row r="141" spans="2:14" x14ac:dyDescent="0.25">
      <c r="B141" s="82"/>
      <c r="C141" s="15"/>
      <c r="D141" s="15"/>
      <c r="E141" s="23"/>
      <c r="F141" s="23"/>
      <c r="G141" s="43"/>
      <c r="H141" s="26" t="str">
        <f t="shared" si="4"/>
        <v/>
      </c>
      <c r="I141" s="44"/>
      <c r="K141" s="43"/>
      <c r="L141" s="43"/>
      <c r="M141" s="43"/>
      <c r="N141" s="43"/>
    </row>
    <row r="142" spans="2:14" x14ac:dyDescent="0.25">
      <c r="B142" s="82" t="s">
        <v>1586</v>
      </c>
      <c r="C142" s="15" t="s">
        <v>1587</v>
      </c>
      <c r="D142" s="15"/>
      <c r="E142" s="23" t="s">
        <v>648</v>
      </c>
      <c r="F142" s="23">
        <v>10000</v>
      </c>
      <c r="G142" s="43">
        <v>1</v>
      </c>
      <c r="H142" s="26">
        <f t="shared" si="4"/>
        <v>10000</v>
      </c>
      <c r="I142" s="44"/>
      <c r="K142" s="43"/>
      <c r="L142" s="43"/>
      <c r="M142" s="43"/>
      <c r="N142" s="43"/>
    </row>
    <row r="143" spans="2:14" x14ac:dyDescent="0.25">
      <c r="B143" s="82"/>
      <c r="C143" s="15"/>
      <c r="D143" s="15"/>
      <c r="E143" s="23"/>
      <c r="F143" s="23"/>
      <c r="G143" s="43"/>
      <c r="H143" s="26" t="str">
        <f t="shared" si="4"/>
        <v/>
      </c>
      <c r="I143" s="44"/>
      <c r="K143" s="43"/>
      <c r="L143" s="43"/>
      <c r="M143" s="43"/>
      <c r="N143" s="43"/>
    </row>
    <row r="144" spans="2:14" ht="13.2" customHeight="1" x14ac:dyDescent="0.25">
      <c r="B144" s="82"/>
      <c r="C144" s="15" t="s">
        <v>1588</v>
      </c>
      <c r="D144" s="15"/>
      <c r="E144" s="23" t="s">
        <v>36</v>
      </c>
      <c r="F144" s="23">
        <v>10000</v>
      </c>
      <c r="G144" s="399"/>
      <c r="H144" s="26">
        <f t="shared" si="4"/>
        <v>0</v>
      </c>
      <c r="I144" s="44"/>
      <c r="K144" s="43"/>
      <c r="L144" s="43"/>
      <c r="M144" s="43"/>
      <c r="N144" s="43"/>
    </row>
    <row r="145" spans="2:14" x14ac:dyDescent="0.25">
      <c r="B145" s="82"/>
      <c r="C145" s="15"/>
      <c r="D145" s="15"/>
      <c r="E145" s="23"/>
      <c r="F145" s="23"/>
      <c r="G145" s="43"/>
      <c r="H145" s="26" t="str">
        <f t="shared" si="4"/>
        <v/>
      </c>
      <c r="I145" s="44"/>
      <c r="K145" s="43"/>
      <c r="L145" s="43"/>
      <c r="M145" s="43"/>
      <c r="N145" s="43"/>
    </row>
    <row r="146" spans="2:14" x14ac:dyDescent="0.25">
      <c r="B146" s="82"/>
      <c r="C146" s="15"/>
      <c r="D146" s="15"/>
      <c r="E146" s="23"/>
      <c r="F146" s="23"/>
      <c r="G146" s="43"/>
      <c r="H146" s="26"/>
      <c r="I146" s="44"/>
      <c r="K146" s="43"/>
      <c r="L146" s="43"/>
      <c r="M146" s="43"/>
      <c r="N146" s="43"/>
    </row>
    <row r="147" spans="2:14" x14ac:dyDescent="0.25">
      <c r="B147" s="82"/>
      <c r="C147" s="15"/>
      <c r="D147" s="15"/>
      <c r="E147" s="23"/>
      <c r="F147" s="23"/>
      <c r="G147" s="43"/>
      <c r="H147" s="26" t="str">
        <f t="shared" si="4"/>
        <v/>
      </c>
      <c r="I147" s="44"/>
      <c r="K147" s="43"/>
      <c r="L147" s="43"/>
      <c r="M147" s="43"/>
      <c r="N147" s="43"/>
    </row>
    <row r="148" spans="2:14" x14ac:dyDescent="0.25">
      <c r="B148" s="82"/>
      <c r="C148" s="15"/>
      <c r="D148" s="15"/>
      <c r="E148" s="23"/>
      <c r="F148" s="23"/>
      <c r="G148" s="43"/>
      <c r="H148" s="26"/>
      <c r="I148" s="44"/>
      <c r="K148" s="43"/>
      <c r="L148" s="43"/>
      <c r="M148" s="43"/>
      <c r="N148" s="43"/>
    </row>
    <row r="149" spans="2:14" x14ac:dyDescent="0.25">
      <c r="B149" s="82"/>
      <c r="C149" s="15"/>
      <c r="D149" s="15"/>
      <c r="E149" s="23"/>
      <c r="F149" s="23"/>
      <c r="G149" s="43"/>
      <c r="H149" s="26"/>
      <c r="I149" s="44"/>
      <c r="K149" s="43"/>
      <c r="L149" s="43"/>
      <c r="M149" s="43"/>
      <c r="N149" s="43"/>
    </row>
    <row r="150" spans="2:14" x14ac:dyDescent="0.25">
      <c r="B150" s="82"/>
      <c r="C150" s="15"/>
      <c r="D150" s="15"/>
      <c r="E150" s="23"/>
      <c r="F150" s="23"/>
      <c r="G150" s="43"/>
      <c r="H150" s="26"/>
      <c r="I150" s="44"/>
      <c r="K150" s="43"/>
      <c r="L150" s="43"/>
      <c r="M150" s="43"/>
      <c r="N150" s="43"/>
    </row>
    <row r="151" spans="2:14" x14ac:dyDescent="0.25">
      <c r="B151" s="53"/>
      <c r="C151" s="15"/>
      <c r="D151" s="15"/>
      <c r="E151" s="23"/>
      <c r="F151" s="23"/>
      <c r="G151" s="43"/>
      <c r="H151" s="26" t="str">
        <f t="shared" si="4"/>
        <v/>
      </c>
      <c r="I151" s="44"/>
      <c r="K151" s="43"/>
      <c r="L151" s="43"/>
      <c r="M151" s="43"/>
      <c r="N151" s="43"/>
    </row>
    <row r="152" spans="2:14" s="31" customFormat="1" ht="20.100000000000001" customHeight="1" x14ac:dyDescent="0.25">
      <c r="B152" s="87" t="str">
        <f>B56</f>
        <v>C1.2</v>
      </c>
      <c r="C152" s="33" t="str">
        <f>"TOTAL CARRIED FORWARD"&amp;IF(H152=H$1," TO SUMMARY (Page C"&amp;Page_A&amp;")","")</f>
        <v>TOTAL CARRIED FORWARD TO SUMMARY (Page C57)</v>
      </c>
      <c r="D152" s="33"/>
      <c r="E152" s="34"/>
      <c r="F152" s="35"/>
      <c r="G152" s="34"/>
      <c r="H152" s="36">
        <f>SUM(H115:H151)</f>
        <v>700000</v>
      </c>
      <c r="I152" s="37"/>
      <c r="K152" s="34"/>
      <c r="L152" s="34"/>
      <c r="M152" s="34"/>
      <c r="N152" s="34"/>
    </row>
  </sheetData>
  <mergeCells count="21">
    <mergeCell ref="B107:E107"/>
    <mergeCell ref="F107:H109"/>
    <mergeCell ref="B108:E108"/>
    <mergeCell ref="B109:E109"/>
    <mergeCell ref="B110:G110"/>
    <mergeCell ref="H110:H113"/>
    <mergeCell ref="B111:G113"/>
    <mergeCell ref="B57:E57"/>
    <mergeCell ref="F57:H59"/>
    <mergeCell ref="B58:E58"/>
    <mergeCell ref="B59:E59"/>
    <mergeCell ref="B60:G60"/>
    <mergeCell ref="H60:H63"/>
    <mergeCell ref="B61:G63"/>
    <mergeCell ref="F2:H4"/>
    <mergeCell ref="B2:E2"/>
    <mergeCell ref="B3:E3"/>
    <mergeCell ref="B4:E4"/>
    <mergeCell ref="B6:G8"/>
    <mergeCell ref="H5:H8"/>
    <mergeCell ref="B5:G5"/>
  </mergeCells>
  <phoneticPr fontId="14" type="noConversion"/>
  <pageMargins left="0.62992125984251968" right="0.43307086614173229" top="0.62992125984251968" bottom="0.55118110236220474" header="0.51181102362204722" footer="0.31496062992125984"/>
  <pageSetup paperSize="9" scale="76" firstPageNumber="29" fitToHeight="0"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rowBreaks count="2" manualBreakCount="2">
    <brk id="56" max="8" man="1"/>
    <brk id="10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CEFE0-BB11-4A8E-8789-8737B0A08041}">
  <sheetPr codeName="Sheet3">
    <tabColor rgb="FF92D050"/>
  </sheetPr>
  <dimension ref="B1:N75"/>
  <sheetViews>
    <sheetView view="pageBreakPreview" zoomScaleNormal="125" zoomScaleSheetLayoutView="100" zoomScalePageLayoutView="125" workbookViewId="0">
      <selection activeCell="G14" sqref="G14:G25"/>
    </sheetView>
  </sheetViews>
  <sheetFormatPr defaultColWidth="6.6640625" defaultRowHeight="13.2" x14ac:dyDescent="0.25"/>
  <cols>
    <col min="1" max="1" width="0.6640625" style="1" customWidth="1"/>
    <col min="2" max="2" width="11.5546875" style="38" customWidth="1"/>
    <col min="3" max="3" width="45.5546875" style="3" customWidth="1"/>
    <col min="4" max="4" width="4" style="3" customWidth="1"/>
    <col min="5" max="5" width="13.5546875" style="4" customWidth="1"/>
    <col min="6" max="6" width="15.5546875" style="4" customWidth="1"/>
    <col min="7" max="7" width="15.5546875" style="1" customWidth="1"/>
    <col min="8" max="8" width="15.5546875" style="5" customWidth="1"/>
    <col min="9" max="9" width="0.6640625" style="5" customWidth="1"/>
    <col min="10" max="10" width="6.6640625" style="1"/>
    <col min="11" max="14" width="15.5546875" style="1" customWidth="1"/>
    <col min="15" max="16384" width="6.6640625" style="1"/>
  </cols>
  <sheetData>
    <row r="1" spans="2:14" x14ac:dyDescent="0.25">
      <c r="H1" s="234">
        <f>MAX(H9:H502)</f>
        <v>0</v>
      </c>
      <c r="J1" s="234">
        <v>12100200</v>
      </c>
      <c r="K1" s="482">
        <f>J1-H1</f>
        <v>12100200</v>
      </c>
    </row>
    <row r="2" spans="2:14" x14ac:dyDescent="0.25">
      <c r="B2" s="2" t="str">
        <f>Client1</f>
        <v>Province of KwaZulu-Natal</v>
      </c>
      <c r="F2" s="510" t="str">
        <f>"Contract No. "&amp;ContractNo</f>
        <v>Contract No. ZNB02215/00000/00/HOD/INF/23/T</v>
      </c>
      <c r="G2" s="510"/>
      <c r="H2" s="510"/>
      <c r="K2" s="402"/>
      <c r="L2" s="402">
        <f>MAX(L3:L247)</f>
        <v>1274.24</v>
      </c>
      <c r="M2" s="402"/>
      <c r="N2" s="403"/>
    </row>
    <row r="3" spans="2:14" x14ac:dyDescent="0.25">
      <c r="B3" s="96" t="str">
        <f>Client2</f>
        <v>Department of Transport</v>
      </c>
      <c r="K3" s="1" t="s">
        <v>1421</v>
      </c>
      <c r="L3" s="1" t="s">
        <v>1422</v>
      </c>
      <c r="M3" s="1" t="s">
        <v>1423</v>
      </c>
      <c r="N3" s="1" t="s">
        <v>1424</v>
      </c>
    </row>
    <row r="4" spans="2:14" x14ac:dyDescent="0.25">
      <c r="B4" s="84"/>
      <c r="C4" s="84"/>
      <c r="D4" s="84"/>
      <c r="E4" s="85"/>
      <c r="F4" s="85"/>
      <c r="G4" s="86"/>
      <c r="H4" s="98"/>
      <c r="K4" s="86"/>
      <c r="L4" s="86"/>
      <c r="M4" s="86"/>
      <c r="N4" s="86"/>
    </row>
    <row r="5" spans="2:14" x14ac:dyDescent="0.25">
      <c r="B5" s="507" t="s">
        <v>8</v>
      </c>
      <c r="C5" s="508"/>
      <c r="D5" s="508"/>
      <c r="E5" s="508"/>
      <c r="F5" s="508"/>
      <c r="G5" s="508"/>
      <c r="H5" s="504" t="str">
        <f>"CHAPTER "&amp;B11</f>
        <v>CHAPTER C1.3</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05"/>
      <c r="I6" s="9"/>
    </row>
    <row r="7" spans="2:14" ht="12.75" customHeight="1" x14ac:dyDescent="0.25">
      <c r="B7" s="500"/>
      <c r="C7" s="501"/>
      <c r="D7" s="501"/>
      <c r="E7" s="501"/>
      <c r="F7" s="501"/>
      <c r="G7" s="501"/>
      <c r="H7" s="505"/>
      <c r="I7" s="9"/>
    </row>
    <row r="8" spans="2:14" ht="7.5" customHeight="1" x14ac:dyDescent="0.25">
      <c r="B8" s="502"/>
      <c r="C8" s="503"/>
      <c r="D8" s="503"/>
      <c r="E8" s="503"/>
      <c r="F8" s="503"/>
      <c r="G8" s="503"/>
      <c r="H8" s="506"/>
      <c r="I8" s="9"/>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53"/>
      <c r="C10" s="15"/>
      <c r="D10" s="15"/>
      <c r="E10" s="16"/>
      <c r="F10" s="16"/>
      <c r="G10" s="17"/>
      <c r="H10" s="26" t="str">
        <f t="shared" ref="H10:H15" si="0">IF(E10="","",F10*G10)</f>
        <v/>
      </c>
      <c r="I10" s="19"/>
      <c r="K10" s="17"/>
      <c r="L10" s="17"/>
      <c r="M10" s="17"/>
      <c r="N10" s="17"/>
    </row>
    <row r="11" spans="2:14" ht="26.4" x14ac:dyDescent="0.25">
      <c r="B11" s="80" t="s">
        <v>70</v>
      </c>
      <c r="C11" s="21" t="s">
        <v>71</v>
      </c>
      <c r="D11" s="21"/>
      <c r="E11" s="23"/>
      <c r="F11" s="23"/>
      <c r="G11" s="43"/>
      <c r="H11" s="26" t="str">
        <f t="shared" si="0"/>
        <v/>
      </c>
      <c r="I11" s="44"/>
      <c r="K11" s="43"/>
      <c r="L11" s="43"/>
      <c r="M11" s="43"/>
      <c r="N11" s="43"/>
    </row>
    <row r="12" spans="2:14" x14ac:dyDescent="0.25">
      <c r="B12" s="53"/>
      <c r="C12" s="15"/>
      <c r="D12" s="15"/>
      <c r="E12" s="23"/>
      <c r="F12" s="23"/>
      <c r="G12" s="43"/>
      <c r="H12" s="26" t="str">
        <f t="shared" si="0"/>
        <v/>
      </c>
      <c r="I12" s="44"/>
      <c r="K12" s="43"/>
      <c r="L12" s="43"/>
      <c r="M12" s="43"/>
      <c r="N12" s="43"/>
    </row>
    <row r="13" spans="2:14" x14ac:dyDescent="0.25">
      <c r="B13" s="53" t="s">
        <v>72</v>
      </c>
      <c r="C13" s="15" t="s">
        <v>73</v>
      </c>
      <c r="D13" s="15"/>
      <c r="E13" s="23"/>
      <c r="F13" s="23"/>
      <c r="G13" s="43"/>
      <c r="H13" s="26" t="str">
        <f t="shared" si="0"/>
        <v/>
      </c>
      <c r="I13" s="44"/>
      <c r="K13" s="43"/>
      <c r="L13" s="43"/>
      <c r="M13" s="43"/>
      <c r="N13" s="43"/>
    </row>
    <row r="14" spans="2:14" x14ac:dyDescent="0.25">
      <c r="B14" s="53"/>
      <c r="C14" s="15"/>
      <c r="D14" s="15"/>
      <c r="E14" s="23"/>
      <c r="F14" s="23"/>
      <c r="G14" s="43"/>
      <c r="H14" s="26" t="str">
        <f t="shared" si="0"/>
        <v/>
      </c>
      <c r="I14" s="44"/>
      <c r="K14" s="43"/>
      <c r="L14" s="43"/>
      <c r="M14" s="43"/>
      <c r="N14" s="43"/>
    </row>
    <row r="15" spans="2:14" x14ac:dyDescent="0.25">
      <c r="B15" s="53" t="s">
        <v>74</v>
      </c>
      <c r="C15" s="15" t="s">
        <v>76</v>
      </c>
      <c r="D15" s="15"/>
      <c r="E15" s="23" t="s">
        <v>11</v>
      </c>
      <c r="F15" s="24">
        <v>1</v>
      </c>
      <c r="G15" s="17"/>
      <c r="H15" s="26">
        <f t="shared" si="0"/>
        <v>0</v>
      </c>
      <c r="I15" s="45"/>
      <c r="K15" s="17"/>
      <c r="L15" s="17"/>
      <c r="M15" s="17"/>
      <c r="N15" s="17"/>
    </row>
    <row r="16" spans="2:14" x14ac:dyDescent="0.25">
      <c r="B16" s="53"/>
      <c r="C16" s="15"/>
      <c r="D16" s="15"/>
      <c r="E16" s="23"/>
      <c r="F16" s="24"/>
      <c r="G16" s="17"/>
      <c r="H16" s="26"/>
      <c r="I16" s="45"/>
      <c r="K16" s="17"/>
      <c r="L16" s="17"/>
      <c r="M16" s="17"/>
      <c r="N16" s="17"/>
    </row>
    <row r="17" spans="2:14" x14ac:dyDescent="0.25">
      <c r="B17" s="53" t="s">
        <v>1600</v>
      </c>
      <c r="C17" s="15" t="s">
        <v>1601</v>
      </c>
      <c r="D17" s="15"/>
      <c r="E17" s="23" t="s">
        <v>11</v>
      </c>
      <c r="F17" s="24">
        <v>1</v>
      </c>
      <c r="G17" s="17"/>
      <c r="H17" s="26">
        <f t="shared" ref="H17" si="1">IF(E17="","",F17*G17)</f>
        <v>0</v>
      </c>
      <c r="I17" s="45"/>
      <c r="K17" s="17"/>
      <c r="L17" s="17"/>
      <c r="M17" s="17"/>
      <c r="N17" s="17"/>
    </row>
    <row r="18" spans="2:14" x14ac:dyDescent="0.25">
      <c r="B18" s="53"/>
      <c r="C18" s="15"/>
      <c r="D18" s="15"/>
      <c r="E18" s="23"/>
      <c r="F18" s="24"/>
      <c r="G18" s="43"/>
      <c r="H18" s="26"/>
      <c r="I18" s="45"/>
      <c r="K18" s="43"/>
      <c r="L18" s="43"/>
      <c r="M18" s="43"/>
      <c r="N18" s="43"/>
    </row>
    <row r="19" spans="2:14" x14ac:dyDescent="0.25">
      <c r="B19" s="53" t="s">
        <v>75</v>
      </c>
      <c r="C19" s="15" t="s">
        <v>77</v>
      </c>
      <c r="D19" s="15"/>
      <c r="E19" s="23" t="s">
        <v>21</v>
      </c>
      <c r="F19" s="24">
        <v>18</v>
      </c>
      <c r="G19" s="43"/>
      <c r="H19" s="26">
        <f>IF(E19="","",F19*G19)</f>
        <v>0</v>
      </c>
      <c r="I19" s="45"/>
      <c r="K19" s="43"/>
      <c r="L19" s="43"/>
      <c r="M19" s="43"/>
      <c r="N19" s="43"/>
    </row>
    <row r="20" spans="2:14" x14ac:dyDescent="0.25">
      <c r="B20" s="53"/>
      <c r="C20" s="15"/>
      <c r="D20" s="15"/>
      <c r="E20" s="23"/>
      <c r="F20" s="24"/>
      <c r="G20" s="43"/>
      <c r="H20" s="26" t="str">
        <f>IF(E20="","",F20*G20)</f>
        <v/>
      </c>
      <c r="I20" s="44"/>
      <c r="K20" s="43"/>
      <c r="L20" s="43"/>
      <c r="M20" s="43"/>
      <c r="N20" s="43"/>
    </row>
    <row r="21" spans="2:14" ht="15.6" x14ac:dyDescent="0.25">
      <c r="B21" s="53" t="s">
        <v>78</v>
      </c>
      <c r="C21" s="15" t="s">
        <v>79</v>
      </c>
      <c r="D21" s="15"/>
      <c r="E21" s="23" t="s">
        <v>80</v>
      </c>
      <c r="F21" s="24">
        <v>12</v>
      </c>
      <c r="G21" s="43"/>
      <c r="H21" s="26">
        <f>IF(E21="","",F21*G21)</f>
        <v>0</v>
      </c>
      <c r="I21" s="44"/>
      <c r="K21" s="43">
        <f>_LabourRate*4/6*4</f>
        <v>106.18666666666667</v>
      </c>
      <c r="L21" s="43">
        <f>K21*F21</f>
        <v>1274.24</v>
      </c>
      <c r="M21" s="43"/>
      <c r="N21" s="43"/>
    </row>
    <row r="22" spans="2:14" x14ac:dyDescent="0.25">
      <c r="B22" s="53"/>
      <c r="C22" s="15"/>
      <c r="D22" s="15"/>
      <c r="E22" s="23"/>
      <c r="F22" s="24"/>
      <c r="G22" s="17"/>
      <c r="H22" s="26" t="str">
        <f>IF(E22="","",F22*G22)</f>
        <v/>
      </c>
      <c r="I22" s="47"/>
      <c r="K22" s="17"/>
      <c r="L22" s="17"/>
      <c r="M22" s="17"/>
      <c r="N22" s="17"/>
    </row>
    <row r="23" spans="2:14" x14ac:dyDescent="0.25">
      <c r="B23" s="53"/>
      <c r="C23" s="202"/>
      <c r="D23" s="202"/>
      <c r="E23" s="23"/>
      <c r="F23" s="23"/>
      <c r="G23" s="43"/>
      <c r="H23" s="26"/>
      <c r="I23" s="44"/>
      <c r="K23" s="43"/>
      <c r="L23" s="43"/>
      <c r="M23" s="43"/>
      <c r="N23" s="43"/>
    </row>
    <row r="24" spans="2:14" x14ac:dyDescent="0.25">
      <c r="B24" s="53"/>
      <c r="C24" s="15"/>
      <c r="D24" s="15"/>
      <c r="E24" s="23"/>
      <c r="F24" s="23"/>
      <c r="G24" s="43"/>
      <c r="H24" s="26"/>
      <c r="I24" s="44"/>
      <c r="K24" s="43"/>
      <c r="L24" s="43"/>
      <c r="M24" s="43"/>
      <c r="N24" s="43"/>
    </row>
    <row r="25" spans="2:14" x14ac:dyDescent="0.25">
      <c r="B25" s="53"/>
      <c r="C25" s="15"/>
      <c r="D25" s="15"/>
      <c r="E25" s="23"/>
      <c r="F25" s="23"/>
      <c r="G25" s="43"/>
      <c r="H25" s="26"/>
      <c r="I25" s="44"/>
      <c r="K25" s="43"/>
      <c r="L25" s="43"/>
      <c r="M25" s="43"/>
      <c r="N25" s="43"/>
    </row>
    <row r="26" spans="2:14" x14ac:dyDescent="0.25">
      <c r="B26" s="53"/>
      <c r="C26" s="15"/>
      <c r="D26" s="15"/>
      <c r="E26" s="23"/>
      <c r="F26" s="23"/>
      <c r="G26" s="43"/>
      <c r="H26" s="26"/>
      <c r="I26" s="44"/>
      <c r="K26" s="43"/>
      <c r="L26" s="43"/>
      <c r="M26" s="43"/>
      <c r="N26" s="43"/>
    </row>
    <row r="27" spans="2:14" x14ac:dyDescent="0.25">
      <c r="B27" s="53"/>
      <c r="C27" s="15"/>
      <c r="D27" s="15"/>
      <c r="E27" s="23"/>
      <c r="F27" s="23"/>
      <c r="G27" s="17"/>
      <c r="H27" s="26"/>
      <c r="I27" s="44"/>
      <c r="K27" s="17"/>
      <c r="L27" s="17"/>
      <c r="M27" s="17"/>
      <c r="N27" s="17"/>
    </row>
    <row r="28" spans="2:14" x14ac:dyDescent="0.25">
      <c r="B28" s="53"/>
      <c r="C28" s="15"/>
      <c r="D28" s="15"/>
      <c r="E28" s="23"/>
      <c r="F28" s="23"/>
      <c r="G28" s="41"/>
      <c r="H28" s="26"/>
      <c r="I28" s="44"/>
      <c r="K28" s="41"/>
      <c r="L28" s="41"/>
      <c r="M28" s="41"/>
      <c r="N28" s="41"/>
    </row>
    <row r="29" spans="2:14" x14ac:dyDescent="0.25">
      <c r="B29" s="53"/>
      <c r="C29" s="15"/>
      <c r="D29" s="15"/>
      <c r="E29" s="23"/>
      <c r="F29" s="23"/>
      <c r="G29" s="41"/>
      <c r="H29" s="26"/>
      <c r="I29" s="44"/>
      <c r="K29" s="41"/>
      <c r="L29" s="41"/>
      <c r="M29" s="41"/>
      <c r="N29" s="41"/>
    </row>
    <row r="30" spans="2:14" x14ac:dyDescent="0.25">
      <c r="B30" s="53"/>
      <c r="C30" s="15"/>
      <c r="D30" s="15"/>
      <c r="E30" s="23"/>
      <c r="F30" s="23"/>
      <c r="G30" s="41"/>
      <c r="H30" s="26"/>
      <c r="I30" s="44"/>
      <c r="K30" s="41"/>
      <c r="L30" s="41"/>
      <c r="M30" s="41"/>
      <c r="N30" s="41"/>
    </row>
    <row r="31" spans="2:14" x14ac:dyDescent="0.25">
      <c r="B31" s="53"/>
      <c r="C31" s="15"/>
      <c r="D31" s="15"/>
      <c r="E31" s="23"/>
      <c r="F31" s="23"/>
      <c r="G31" s="41"/>
      <c r="H31" s="26"/>
      <c r="I31" s="44"/>
      <c r="K31" s="41"/>
      <c r="L31" s="41"/>
      <c r="M31" s="41"/>
      <c r="N31" s="41"/>
    </row>
    <row r="32" spans="2:14" x14ac:dyDescent="0.25">
      <c r="B32" s="53"/>
      <c r="C32" s="15"/>
      <c r="D32" s="15"/>
      <c r="E32" s="23"/>
      <c r="F32" s="23"/>
      <c r="G32" s="41"/>
      <c r="H32" s="26"/>
      <c r="I32" s="44"/>
      <c r="K32" s="41"/>
      <c r="L32" s="41"/>
      <c r="M32" s="41"/>
      <c r="N32" s="41"/>
    </row>
    <row r="33" spans="2:14" x14ac:dyDescent="0.25">
      <c r="B33" s="53"/>
      <c r="C33" s="15"/>
      <c r="D33" s="15"/>
      <c r="E33" s="23"/>
      <c r="F33" s="23"/>
      <c r="G33" s="41"/>
      <c r="H33" s="26"/>
      <c r="I33" s="44"/>
      <c r="K33" s="41"/>
      <c r="L33" s="41"/>
      <c r="M33" s="41"/>
      <c r="N33" s="41"/>
    </row>
    <row r="34" spans="2:14" x14ac:dyDescent="0.25">
      <c r="B34" s="53"/>
      <c r="C34" s="15"/>
      <c r="D34" s="15"/>
      <c r="E34" s="23"/>
      <c r="F34" s="23"/>
      <c r="G34" s="41"/>
      <c r="H34" s="26"/>
      <c r="I34" s="44"/>
      <c r="K34" s="41"/>
      <c r="L34" s="41"/>
      <c r="M34" s="41"/>
      <c r="N34" s="41"/>
    </row>
    <row r="35" spans="2:14" x14ac:dyDescent="0.25">
      <c r="B35" s="53"/>
      <c r="C35" s="15"/>
      <c r="D35" s="15"/>
      <c r="E35" s="23"/>
      <c r="F35" s="23"/>
      <c r="G35" s="41"/>
      <c r="H35" s="26"/>
      <c r="I35" s="44"/>
      <c r="K35" s="41"/>
      <c r="L35" s="41"/>
      <c r="M35" s="41"/>
      <c r="N35" s="41"/>
    </row>
    <row r="36" spans="2:14" x14ac:dyDescent="0.25">
      <c r="B36" s="53"/>
      <c r="C36" s="15"/>
      <c r="D36" s="15"/>
      <c r="E36" s="23"/>
      <c r="F36" s="23"/>
      <c r="G36" s="41"/>
      <c r="H36" s="26"/>
      <c r="I36" s="44"/>
      <c r="K36" s="41"/>
      <c r="L36" s="41"/>
      <c r="M36" s="41"/>
      <c r="N36" s="41"/>
    </row>
    <row r="37" spans="2:14" x14ac:dyDescent="0.25">
      <c r="B37" s="53"/>
      <c r="C37" s="15"/>
      <c r="D37" s="15"/>
      <c r="E37" s="23"/>
      <c r="F37" s="23"/>
      <c r="G37" s="41"/>
      <c r="H37" s="26"/>
      <c r="I37" s="44"/>
      <c r="K37" s="41"/>
      <c r="L37" s="41"/>
      <c r="M37" s="41"/>
      <c r="N37" s="41"/>
    </row>
    <row r="38" spans="2:14" x14ac:dyDescent="0.25">
      <c r="B38" s="53"/>
      <c r="C38" s="15"/>
      <c r="D38" s="15"/>
      <c r="E38" s="23"/>
      <c r="F38" s="23"/>
      <c r="G38" s="41"/>
      <c r="H38" s="26"/>
      <c r="I38" s="44"/>
      <c r="K38" s="41"/>
      <c r="L38" s="41"/>
      <c r="M38" s="41"/>
      <c r="N38" s="41"/>
    </row>
    <row r="39" spans="2:14" x14ac:dyDescent="0.25">
      <c r="B39" s="53"/>
      <c r="C39" s="15"/>
      <c r="D39" s="15"/>
      <c r="E39" s="23"/>
      <c r="F39" s="23"/>
      <c r="G39" s="41"/>
      <c r="H39" s="26"/>
      <c r="I39" s="44"/>
      <c r="K39" s="41"/>
      <c r="L39" s="41"/>
      <c r="M39" s="41"/>
      <c r="N39" s="41"/>
    </row>
    <row r="40" spans="2:14" x14ac:dyDescent="0.25">
      <c r="B40" s="53"/>
      <c r="C40" s="15"/>
      <c r="D40" s="15"/>
      <c r="E40" s="23"/>
      <c r="F40" s="23"/>
      <c r="G40" s="41"/>
      <c r="H40" s="26"/>
      <c r="I40" s="44"/>
      <c r="K40" s="41"/>
      <c r="L40" s="41"/>
      <c r="M40" s="41"/>
      <c r="N40" s="41"/>
    </row>
    <row r="41" spans="2:14" x14ac:dyDescent="0.25">
      <c r="B41" s="53"/>
      <c r="C41" s="15"/>
      <c r="D41" s="15"/>
      <c r="E41" s="23"/>
      <c r="F41" s="23"/>
      <c r="G41" s="41"/>
      <c r="H41" s="26"/>
      <c r="I41" s="44"/>
      <c r="K41" s="41"/>
      <c r="L41" s="41"/>
      <c r="M41" s="41"/>
      <c r="N41" s="41"/>
    </row>
    <row r="42" spans="2:14" x14ac:dyDescent="0.25">
      <c r="B42" s="53"/>
      <c r="C42" s="15"/>
      <c r="D42" s="15"/>
      <c r="E42" s="23"/>
      <c r="F42" s="23"/>
      <c r="G42" s="41"/>
      <c r="H42" s="26"/>
      <c r="I42" s="44"/>
      <c r="K42" s="41"/>
      <c r="L42" s="41"/>
      <c r="M42" s="41"/>
      <c r="N42" s="41"/>
    </row>
    <row r="43" spans="2:14" x14ac:dyDescent="0.25">
      <c r="B43" s="53"/>
      <c r="C43" s="15"/>
      <c r="D43" s="15"/>
      <c r="E43" s="23"/>
      <c r="F43" s="23"/>
      <c r="G43" s="41"/>
      <c r="H43" s="26"/>
      <c r="I43" s="44"/>
      <c r="K43" s="41"/>
      <c r="L43" s="41"/>
      <c r="M43" s="41"/>
      <c r="N43" s="41"/>
    </row>
    <row r="44" spans="2:14" x14ac:dyDescent="0.25">
      <c r="B44" s="53"/>
      <c r="C44" s="15"/>
      <c r="D44" s="15"/>
      <c r="E44" s="23"/>
      <c r="F44" s="23"/>
      <c r="G44" s="41"/>
      <c r="H44" s="26"/>
      <c r="I44" s="44"/>
      <c r="K44" s="41"/>
      <c r="L44" s="41"/>
      <c r="M44" s="41"/>
      <c r="N44" s="41"/>
    </row>
    <row r="45" spans="2:14" x14ac:dyDescent="0.25">
      <c r="B45" s="53"/>
      <c r="C45" s="15"/>
      <c r="D45" s="15"/>
      <c r="E45" s="23"/>
      <c r="F45" s="23"/>
      <c r="G45" s="41"/>
      <c r="H45" s="26"/>
      <c r="I45" s="44"/>
      <c r="K45" s="41"/>
      <c r="L45" s="41"/>
      <c r="M45" s="41"/>
      <c r="N45" s="41"/>
    </row>
    <row r="46" spans="2:14" x14ac:dyDescent="0.25">
      <c r="B46" s="53"/>
      <c r="C46" s="15"/>
      <c r="D46" s="15"/>
      <c r="E46" s="23"/>
      <c r="F46" s="23"/>
      <c r="G46" s="41"/>
      <c r="H46" s="26"/>
      <c r="I46" s="44"/>
      <c r="K46" s="41"/>
      <c r="L46" s="41"/>
      <c r="M46" s="41"/>
      <c r="N46" s="41"/>
    </row>
    <row r="47" spans="2:14" x14ac:dyDescent="0.25">
      <c r="B47" s="53"/>
      <c r="C47" s="15"/>
      <c r="D47" s="15"/>
      <c r="E47" s="23"/>
      <c r="F47" s="23"/>
      <c r="G47" s="41"/>
      <c r="H47" s="26"/>
      <c r="I47" s="44"/>
      <c r="K47" s="41"/>
      <c r="L47" s="41"/>
      <c r="M47" s="41"/>
      <c r="N47" s="41"/>
    </row>
    <row r="48" spans="2:14" x14ac:dyDescent="0.25">
      <c r="B48" s="53"/>
      <c r="C48" s="15"/>
      <c r="D48" s="15"/>
      <c r="E48" s="23"/>
      <c r="F48" s="23"/>
      <c r="G48" s="41"/>
      <c r="H48" s="26"/>
      <c r="I48" s="44"/>
      <c r="K48" s="41"/>
      <c r="L48" s="41"/>
      <c r="M48" s="41"/>
      <c r="N48" s="41"/>
    </row>
    <row r="49" spans="2:14" x14ac:dyDescent="0.25">
      <c r="B49" s="53"/>
      <c r="C49" s="15"/>
      <c r="D49" s="15"/>
      <c r="E49" s="23"/>
      <c r="F49" s="23"/>
      <c r="G49" s="41"/>
      <c r="H49" s="26"/>
      <c r="I49" s="44"/>
      <c r="K49" s="41"/>
      <c r="L49" s="41"/>
      <c r="M49" s="41"/>
      <c r="N49" s="41"/>
    </row>
    <row r="50" spans="2:14" x14ac:dyDescent="0.25">
      <c r="B50" s="53"/>
      <c r="C50" s="15"/>
      <c r="D50" s="15"/>
      <c r="E50" s="23"/>
      <c r="F50" s="23"/>
      <c r="G50" s="41"/>
      <c r="H50" s="26"/>
      <c r="I50" s="44"/>
      <c r="K50" s="41"/>
      <c r="L50" s="41"/>
      <c r="M50" s="41"/>
      <c r="N50" s="41"/>
    </row>
    <row r="51" spans="2:14" x14ac:dyDescent="0.25">
      <c r="B51" s="53"/>
      <c r="C51" s="15"/>
      <c r="D51" s="15"/>
      <c r="E51" s="23"/>
      <c r="F51" s="23"/>
      <c r="G51" s="41"/>
      <c r="H51" s="26"/>
      <c r="I51" s="44"/>
      <c r="K51" s="41"/>
      <c r="L51" s="41"/>
      <c r="M51" s="41"/>
      <c r="N51" s="41"/>
    </row>
    <row r="52" spans="2:14" x14ac:dyDescent="0.25">
      <c r="B52" s="53"/>
      <c r="C52" s="15"/>
      <c r="D52" s="15"/>
      <c r="E52" s="23"/>
      <c r="F52" s="23"/>
      <c r="G52" s="41"/>
      <c r="H52" s="26"/>
      <c r="I52" s="44"/>
      <c r="K52" s="41"/>
      <c r="L52" s="41"/>
      <c r="M52" s="41"/>
      <c r="N52" s="41"/>
    </row>
    <row r="53" spans="2:14" x14ac:dyDescent="0.25">
      <c r="B53" s="53"/>
      <c r="C53" s="15"/>
      <c r="D53" s="15"/>
      <c r="E53" s="23"/>
      <c r="F53" s="23"/>
      <c r="G53" s="41"/>
      <c r="H53" s="26"/>
      <c r="I53" s="44"/>
      <c r="K53" s="41"/>
      <c r="L53" s="41"/>
      <c r="M53" s="41"/>
      <c r="N53" s="41"/>
    </row>
    <row r="54" spans="2:14" x14ac:dyDescent="0.25">
      <c r="B54" s="53"/>
      <c r="C54" s="15"/>
      <c r="D54" s="15"/>
      <c r="E54" s="23"/>
      <c r="F54" s="23"/>
      <c r="G54" s="41"/>
      <c r="H54" s="26"/>
      <c r="I54" s="44"/>
      <c r="K54" s="41"/>
      <c r="L54" s="41"/>
      <c r="M54" s="41"/>
      <c r="N54" s="41"/>
    </row>
    <row r="55" spans="2:14" x14ac:dyDescent="0.25">
      <c r="B55" s="53"/>
      <c r="C55" s="15"/>
      <c r="D55" s="15"/>
      <c r="E55" s="23"/>
      <c r="F55" s="23"/>
      <c r="G55" s="41"/>
      <c r="H55" s="26"/>
      <c r="I55" s="44"/>
      <c r="K55" s="41"/>
      <c r="L55" s="41"/>
      <c r="M55" s="41"/>
      <c r="N55" s="41"/>
    </row>
    <row r="56" spans="2:14" x14ac:dyDescent="0.25">
      <c r="B56" s="53"/>
      <c r="C56" s="15"/>
      <c r="D56" s="15"/>
      <c r="E56" s="23"/>
      <c r="F56" s="23"/>
      <c r="G56" s="41"/>
      <c r="H56" s="26"/>
      <c r="I56" s="44"/>
      <c r="K56" s="41"/>
      <c r="L56" s="41"/>
      <c r="M56" s="41"/>
      <c r="N56" s="41"/>
    </row>
    <row r="57" spans="2:14" x14ac:dyDescent="0.25">
      <c r="B57" s="53"/>
      <c r="C57" s="15"/>
      <c r="D57" s="15"/>
      <c r="E57" s="23"/>
      <c r="F57" s="23"/>
      <c r="G57" s="41"/>
      <c r="H57" s="26"/>
      <c r="I57" s="44"/>
      <c r="K57" s="41"/>
      <c r="L57" s="41"/>
      <c r="M57" s="41"/>
      <c r="N57" s="41"/>
    </row>
    <row r="58" spans="2:14" x14ac:dyDescent="0.25">
      <c r="B58" s="53"/>
      <c r="C58" s="15"/>
      <c r="D58" s="15"/>
      <c r="E58" s="23"/>
      <c r="F58" s="23"/>
      <c r="G58" s="41"/>
      <c r="H58" s="26"/>
      <c r="I58" s="44"/>
      <c r="K58" s="41"/>
      <c r="L58" s="41"/>
      <c r="M58" s="41"/>
      <c r="N58" s="41"/>
    </row>
    <row r="59" spans="2:14" x14ac:dyDescent="0.25">
      <c r="B59" s="53"/>
      <c r="C59" s="15"/>
      <c r="D59" s="15"/>
      <c r="E59" s="23"/>
      <c r="F59" s="23"/>
      <c r="G59" s="41"/>
      <c r="H59" s="26"/>
      <c r="I59" s="44"/>
      <c r="K59" s="41"/>
      <c r="L59" s="41"/>
      <c r="M59" s="41"/>
      <c r="N59" s="41"/>
    </row>
    <row r="60" spans="2:14" x14ac:dyDescent="0.25">
      <c r="B60" s="53"/>
      <c r="C60" s="15"/>
      <c r="D60" s="15"/>
      <c r="E60" s="23"/>
      <c r="F60" s="23"/>
      <c r="G60" s="41"/>
      <c r="H60" s="26"/>
      <c r="I60" s="44"/>
      <c r="K60" s="41"/>
      <c r="L60" s="41"/>
      <c r="M60" s="41"/>
      <c r="N60" s="41"/>
    </row>
    <row r="61" spans="2:14" x14ac:dyDescent="0.25">
      <c r="B61" s="53"/>
      <c r="C61" s="15"/>
      <c r="D61" s="15"/>
      <c r="E61" s="23"/>
      <c r="F61" s="23"/>
      <c r="G61" s="41"/>
      <c r="H61" s="26"/>
      <c r="I61" s="44"/>
      <c r="K61" s="41"/>
      <c r="L61" s="41"/>
      <c r="M61" s="41"/>
      <c r="N61" s="41"/>
    </row>
    <row r="62" spans="2:14" x14ac:dyDescent="0.25">
      <c r="B62" s="53"/>
      <c r="C62" s="15"/>
      <c r="D62" s="15"/>
      <c r="E62" s="23"/>
      <c r="F62" s="23"/>
      <c r="G62" s="41"/>
      <c r="H62" s="26"/>
      <c r="I62" s="44"/>
      <c r="K62" s="41"/>
      <c r="L62" s="41"/>
      <c r="M62" s="41"/>
      <c r="N62" s="41"/>
    </row>
    <row r="63" spans="2:14" x14ac:dyDescent="0.25">
      <c r="B63" s="53"/>
      <c r="C63" s="15"/>
      <c r="D63" s="15"/>
      <c r="E63" s="23"/>
      <c r="F63" s="23"/>
      <c r="G63" s="41"/>
      <c r="H63" s="26"/>
      <c r="I63" s="44"/>
      <c r="K63" s="41"/>
      <c r="L63" s="41"/>
      <c r="M63" s="41"/>
      <c r="N63" s="41"/>
    </row>
    <row r="64" spans="2:14" x14ac:dyDescent="0.25">
      <c r="B64" s="53"/>
      <c r="C64" s="15"/>
      <c r="D64" s="15"/>
      <c r="E64" s="23"/>
      <c r="F64" s="23"/>
      <c r="G64" s="41"/>
      <c r="H64" s="26"/>
      <c r="I64" s="44"/>
      <c r="K64" s="41"/>
      <c r="L64" s="41"/>
      <c r="M64" s="41"/>
      <c r="N64" s="41"/>
    </row>
    <row r="65" spans="2:14" x14ac:dyDescent="0.25">
      <c r="B65" s="53"/>
      <c r="C65" s="15"/>
      <c r="D65" s="15"/>
      <c r="E65" s="23"/>
      <c r="F65" s="23"/>
      <c r="G65" s="41"/>
      <c r="H65" s="26"/>
      <c r="I65" s="44"/>
      <c r="K65" s="41"/>
      <c r="L65" s="41"/>
      <c r="M65" s="41"/>
      <c r="N65" s="41"/>
    </row>
    <row r="66" spans="2:14" x14ac:dyDescent="0.25">
      <c r="B66" s="53"/>
      <c r="C66" s="15"/>
      <c r="D66" s="15"/>
      <c r="E66" s="23"/>
      <c r="F66" s="23"/>
      <c r="G66" s="41"/>
      <c r="H66" s="26"/>
      <c r="I66" s="44"/>
      <c r="K66" s="41"/>
      <c r="L66" s="41"/>
      <c r="M66" s="41"/>
      <c r="N66" s="41"/>
    </row>
    <row r="67" spans="2:14" x14ac:dyDescent="0.25">
      <c r="B67" s="53"/>
      <c r="C67" s="15"/>
      <c r="D67" s="15"/>
      <c r="E67" s="23"/>
      <c r="F67" s="23"/>
      <c r="G67" s="41"/>
      <c r="H67" s="26"/>
      <c r="I67" s="44"/>
      <c r="K67" s="41"/>
      <c r="L67" s="41"/>
      <c r="M67" s="41"/>
      <c r="N67" s="41"/>
    </row>
    <row r="68" spans="2:14" x14ac:dyDescent="0.25">
      <c r="B68" s="53"/>
      <c r="C68" s="15"/>
      <c r="D68" s="15"/>
      <c r="E68" s="23"/>
      <c r="F68" s="23"/>
      <c r="G68" s="41"/>
      <c r="H68" s="26"/>
      <c r="I68" s="44"/>
      <c r="K68" s="41"/>
      <c r="L68" s="41"/>
      <c r="M68" s="41"/>
      <c r="N68" s="41"/>
    </row>
    <row r="69" spans="2:14" x14ac:dyDescent="0.25">
      <c r="B69" s="53"/>
      <c r="C69" s="15"/>
      <c r="D69" s="15"/>
      <c r="E69" s="23"/>
      <c r="F69" s="23"/>
      <c r="G69" s="41"/>
      <c r="H69" s="26"/>
      <c r="I69" s="44"/>
      <c r="K69" s="41"/>
      <c r="L69" s="41"/>
      <c r="M69" s="41"/>
      <c r="N69" s="41"/>
    </row>
    <row r="70" spans="2:14" x14ac:dyDescent="0.25">
      <c r="B70" s="53"/>
      <c r="C70" s="15"/>
      <c r="D70" s="15"/>
      <c r="E70" s="23"/>
      <c r="F70" s="23"/>
      <c r="G70" s="41"/>
      <c r="H70" s="26"/>
      <c r="I70" s="44"/>
      <c r="K70" s="41"/>
      <c r="L70" s="41"/>
      <c r="M70" s="41"/>
      <c r="N70" s="41"/>
    </row>
    <row r="71" spans="2:14" x14ac:dyDescent="0.25">
      <c r="B71" s="53"/>
      <c r="C71" s="15"/>
      <c r="D71" s="15"/>
      <c r="E71" s="23"/>
      <c r="F71" s="23"/>
      <c r="G71" s="41"/>
      <c r="H71" s="26"/>
      <c r="I71" s="44"/>
      <c r="K71" s="41"/>
      <c r="L71" s="41"/>
      <c r="M71" s="41"/>
      <c r="N71" s="41"/>
    </row>
    <row r="72" spans="2:14" x14ac:dyDescent="0.25">
      <c r="B72" s="53"/>
      <c r="C72" s="15"/>
      <c r="D72" s="15"/>
      <c r="E72" s="23"/>
      <c r="F72" s="23"/>
      <c r="G72" s="41"/>
      <c r="H72" s="26"/>
      <c r="I72" s="44"/>
      <c r="K72" s="41"/>
      <c r="L72" s="41"/>
      <c r="M72" s="41"/>
      <c r="N72" s="41"/>
    </row>
    <row r="73" spans="2:14" x14ac:dyDescent="0.25">
      <c r="B73" s="53"/>
      <c r="C73" s="15"/>
      <c r="D73" s="15"/>
      <c r="E73" s="23"/>
      <c r="F73" s="23"/>
      <c r="G73" s="41"/>
      <c r="H73" s="26"/>
      <c r="I73" s="44"/>
      <c r="K73" s="41"/>
      <c r="L73" s="41"/>
      <c r="M73" s="41"/>
      <c r="N73" s="41"/>
    </row>
    <row r="74" spans="2:14" x14ac:dyDescent="0.25">
      <c r="B74" s="53"/>
      <c r="C74" s="15"/>
      <c r="D74" s="15"/>
      <c r="E74" s="23"/>
      <c r="F74" s="23"/>
      <c r="G74" s="41"/>
      <c r="H74" s="26"/>
      <c r="I74" s="44"/>
      <c r="K74" s="41"/>
      <c r="L74" s="41"/>
      <c r="M74" s="41"/>
      <c r="N74" s="41"/>
    </row>
    <row r="75" spans="2:14" s="31" customFormat="1" ht="25.2" customHeight="1" x14ac:dyDescent="0.25">
      <c r="B75" s="32" t="str">
        <f>B11</f>
        <v>C1.3</v>
      </c>
      <c r="C75" s="33" t="str">
        <f>"TOTAL CARRIED FORWARD"&amp;IF(H75=H$1," TO SUMMARY (Page C"&amp;Page_A&amp;")","")</f>
        <v>TOTAL CARRIED FORWARD TO SUMMARY (Page C57)</v>
      </c>
      <c r="D75" s="33"/>
      <c r="E75" s="34"/>
      <c r="F75" s="35"/>
      <c r="G75" s="34"/>
      <c r="H75" s="36">
        <f>SUM(H10:H74)</f>
        <v>0</v>
      </c>
      <c r="I75" s="37"/>
      <c r="K75" s="34"/>
      <c r="L75" s="34"/>
      <c r="M75" s="34"/>
      <c r="N75" s="34"/>
    </row>
  </sheetData>
  <mergeCells count="4">
    <mergeCell ref="F2:H2"/>
    <mergeCell ref="B6:G8"/>
    <mergeCell ref="H5:H8"/>
    <mergeCell ref="B5:G5"/>
  </mergeCells>
  <phoneticPr fontId="14" type="noConversion"/>
  <pageMargins left="0.62992125984251968" right="0.43307086614173229" top="0.62992125984251968" bottom="0.55118110236220474" header="0.51181102362204722" footer="0.31496062992125984"/>
  <pageSetup paperSize="9" scale="75"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874F5-8891-4E64-B19A-C8111725C19A}">
  <sheetPr codeName="Sheet4">
    <tabColor rgb="FF92D050"/>
  </sheetPr>
  <dimension ref="B1:R214"/>
  <sheetViews>
    <sheetView view="pageBreakPreview" topLeftCell="A178" zoomScaleNormal="100" zoomScaleSheetLayoutView="100" zoomScalePageLayoutView="125" workbookViewId="0">
      <selection activeCell="G31" sqref="G31"/>
    </sheetView>
  </sheetViews>
  <sheetFormatPr defaultColWidth="6.6640625" defaultRowHeight="13.2" x14ac:dyDescent="0.25"/>
  <cols>
    <col min="1" max="1" width="0.6640625" style="1" customWidth="1"/>
    <col min="2" max="2" width="11.5546875" style="38" customWidth="1"/>
    <col min="3" max="3" width="45.5546875" style="3" customWidth="1"/>
    <col min="4" max="4" width="4.664062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0" width="6.6640625" style="1"/>
    <col min="11" max="13" width="15.5546875" style="1" customWidth="1"/>
    <col min="14" max="14" width="18.5546875" style="1" customWidth="1"/>
    <col min="15" max="16384" width="6.6640625" style="1"/>
  </cols>
  <sheetData>
    <row r="1" spans="2:14" x14ac:dyDescent="0.25">
      <c r="H1" s="234">
        <f>MAX(H9:H472)</f>
        <v>200000</v>
      </c>
    </row>
    <row r="2" spans="2:14" x14ac:dyDescent="0.25">
      <c r="B2" s="2" t="str">
        <f>Client1</f>
        <v>Province of KwaZulu-Natal</v>
      </c>
      <c r="F2" s="510" t="str">
        <f>"Contract No. "&amp;ContractNo</f>
        <v>Contract No. ZNB02215/00000/00/HOD/INF/23/T</v>
      </c>
      <c r="G2" s="510"/>
      <c r="H2" s="510"/>
      <c r="K2" s="402"/>
      <c r="L2" s="402">
        <f>MAX(L3:L217)</f>
        <v>637.12</v>
      </c>
      <c r="M2" s="402"/>
      <c r="N2" s="403"/>
    </row>
    <row r="3" spans="2:14" x14ac:dyDescent="0.25">
      <c r="B3" s="96" t="str">
        <f>Client2</f>
        <v>Department of Transport</v>
      </c>
      <c r="K3" s="1" t="s">
        <v>1421</v>
      </c>
      <c r="L3" s="1" t="s">
        <v>1422</v>
      </c>
      <c r="M3" s="1" t="s">
        <v>1423</v>
      </c>
      <c r="N3" s="1" t="s">
        <v>1424</v>
      </c>
    </row>
    <row r="4" spans="2:14" x14ac:dyDescent="0.25">
      <c r="B4" s="84"/>
      <c r="C4" s="84"/>
      <c r="D4" s="84"/>
      <c r="E4" s="85"/>
      <c r="F4" s="85"/>
      <c r="G4" s="86"/>
      <c r="H4" s="98"/>
      <c r="K4" s="86"/>
      <c r="L4" s="86"/>
      <c r="M4" s="86"/>
      <c r="N4" s="86"/>
    </row>
    <row r="5" spans="2:14" x14ac:dyDescent="0.25">
      <c r="B5" s="507" t="s">
        <v>8</v>
      </c>
      <c r="C5" s="508"/>
      <c r="D5" s="508"/>
      <c r="E5" s="508"/>
      <c r="F5" s="508"/>
      <c r="G5" s="508"/>
      <c r="H5" s="504" t="str">
        <f>"CHAPTER "&amp;B11</f>
        <v>CHAPTER C1.4</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05"/>
      <c r="I6" s="9"/>
    </row>
    <row r="7" spans="2:14" ht="12.75" customHeight="1" x14ac:dyDescent="0.25">
      <c r="B7" s="500"/>
      <c r="C7" s="501"/>
      <c r="D7" s="501"/>
      <c r="E7" s="501"/>
      <c r="F7" s="501"/>
      <c r="G7" s="501"/>
      <c r="H7" s="505"/>
      <c r="I7" s="9"/>
    </row>
    <row r="8" spans="2:14" ht="7.5" customHeight="1" x14ac:dyDescent="0.25">
      <c r="B8" s="502"/>
      <c r="C8" s="503"/>
      <c r="D8" s="503"/>
      <c r="E8" s="503"/>
      <c r="F8" s="503"/>
      <c r="G8" s="503"/>
      <c r="H8" s="506"/>
      <c r="I8" s="9"/>
    </row>
    <row r="9" spans="2:14" s="10" customFormat="1" ht="25.2" customHeight="1" x14ac:dyDescent="0.25">
      <c r="B9" s="11" t="s">
        <v>0</v>
      </c>
      <c r="C9" s="12" t="s">
        <v>1</v>
      </c>
      <c r="D9" s="12" t="s">
        <v>1602</v>
      </c>
      <c r="E9" s="12" t="s">
        <v>2</v>
      </c>
      <c r="F9" s="12" t="s">
        <v>3</v>
      </c>
      <c r="G9" s="12" t="s">
        <v>4</v>
      </c>
      <c r="H9" s="12" t="s">
        <v>5</v>
      </c>
      <c r="I9" s="13"/>
      <c r="K9" s="12"/>
      <c r="L9" s="12">
        <f>SUM(L10:L214)</f>
        <v>637.12</v>
      </c>
      <c r="M9" s="12"/>
      <c r="N9" s="12"/>
    </row>
    <row r="10" spans="2:14" x14ac:dyDescent="0.25">
      <c r="B10" s="53"/>
      <c r="C10" s="15"/>
      <c r="D10" s="15"/>
      <c r="E10" s="16"/>
      <c r="F10" s="16"/>
      <c r="G10" s="43"/>
      <c r="H10" s="26" t="str">
        <f t="shared" ref="H10:H27" si="0">IF(E10="","",F10*G10)</f>
        <v/>
      </c>
      <c r="I10" s="19"/>
      <c r="K10" s="43"/>
      <c r="L10" s="43"/>
      <c r="M10" s="43"/>
      <c r="N10" s="43"/>
    </row>
    <row r="11" spans="2:14" x14ac:dyDescent="0.25">
      <c r="B11" s="80" t="s">
        <v>81</v>
      </c>
      <c r="C11" s="21" t="s">
        <v>82</v>
      </c>
      <c r="D11" s="21"/>
      <c r="E11" s="23"/>
      <c r="F11" s="23"/>
      <c r="G11" s="43"/>
      <c r="H11" s="26" t="str">
        <f t="shared" si="0"/>
        <v/>
      </c>
      <c r="I11" s="44"/>
      <c r="K11" s="43"/>
      <c r="L11" s="43"/>
      <c r="M11" s="43"/>
      <c r="N11" s="43"/>
    </row>
    <row r="12" spans="2:14" x14ac:dyDescent="0.25">
      <c r="B12" s="53"/>
      <c r="C12" s="15"/>
      <c r="D12" s="15"/>
      <c r="E12" s="23"/>
      <c r="F12" s="23"/>
      <c r="G12" s="43"/>
      <c r="H12" s="26" t="str">
        <f t="shared" si="0"/>
        <v/>
      </c>
      <c r="I12" s="44"/>
      <c r="K12" s="43"/>
      <c r="L12" s="43"/>
      <c r="M12" s="43"/>
      <c r="N12" s="43"/>
    </row>
    <row r="13" spans="2:14" x14ac:dyDescent="0.25">
      <c r="B13" s="53" t="s">
        <v>83</v>
      </c>
      <c r="C13" s="15" t="s">
        <v>84</v>
      </c>
      <c r="D13" s="15"/>
      <c r="E13" s="23"/>
      <c r="F13" s="23"/>
      <c r="G13" s="43"/>
      <c r="H13" s="26" t="str">
        <f t="shared" si="0"/>
        <v/>
      </c>
      <c r="I13" s="44"/>
      <c r="K13" s="43"/>
      <c r="L13" s="43"/>
      <c r="M13" s="43"/>
      <c r="N13" s="43"/>
    </row>
    <row r="14" spans="2:14" x14ac:dyDescent="0.25">
      <c r="B14" s="53"/>
      <c r="C14" s="15"/>
      <c r="D14" s="15"/>
      <c r="E14" s="23"/>
      <c r="F14" s="23"/>
      <c r="G14" s="43"/>
      <c r="H14" s="26" t="str">
        <f t="shared" si="0"/>
        <v/>
      </c>
      <c r="I14" s="44"/>
      <c r="K14" s="43"/>
      <c r="L14" s="43"/>
      <c r="M14" s="43"/>
      <c r="N14" s="43"/>
    </row>
    <row r="15" spans="2:14" ht="15.6" x14ac:dyDescent="0.25">
      <c r="B15" s="53" t="s">
        <v>85</v>
      </c>
      <c r="C15" s="15" t="s">
        <v>90</v>
      </c>
      <c r="D15" s="15"/>
      <c r="E15" s="23" t="s">
        <v>80</v>
      </c>
      <c r="F15" s="24">
        <v>40</v>
      </c>
      <c r="G15" s="43"/>
      <c r="H15" s="26">
        <f t="shared" si="0"/>
        <v>0</v>
      </c>
      <c r="I15" s="45"/>
      <c r="K15" s="43"/>
      <c r="L15" s="43"/>
      <c r="M15" s="43"/>
      <c r="N15" s="43"/>
    </row>
    <row r="16" spans="2:14" x14ac:dyDescent="0.25">
      <c r="B16" s="53"/>
      <c r="C16" s="15"/>
      <c r="D16" s="15"/>
      <c r="E16" s="23"/>
      <c r="F16" s="24"/>
      <c r="G16" s="43"/>
      <c r="H16" s="26" t="str">
        <f t="shared" si="0"/>
        <v/>
      </c>
      <c r="I16" s="45"/>
      <c r="K16" s="43"/>
      <c r="L16" s="43"/>
      <c r="M16" s="43"/>
      <c r="N16" s="43"/>
    </row>
    <row r="17" spans="2:18" x14ac:dyDescent="0.25">
      <c r="B17" s="53" t="s">
        <v>86</v>
      </c>
      <c r="C17" s="15" t="s">
        <v>91</v>
      </c>
      <c r="D17" s="15"/>
      <c r="E17" s="23" t="s">
        <v>44</v>
      </c>
      <c r="F17" s="24">
        <v>4</v>
      </c>
      <c r="G17" s="43"/>
      <c r="H17" s="26">
        <f t="shared" si="0"/>
        <v>0</v>
      </c>
      <c r="I17" s="47"/>
      <c r="K17" s="43">
        <f>_LabourRate*2*2</f>
        <v>159.28</v>
      </c>
      <c r="L17" s="43">
        <f>K17*F17</f>
        <v>637.12</v>
      </c>
      <c r="M17" s="43"/>
      <c r="N17" s="43" t="s">
        <v>1428</v>
      </c>
    </row>
    <row r="18" spans="2:18" x14ac:dyDescent="0.25">
      <c r="B18" s="53"/>
      <c r="C18" s="15"/>
      <c r="D18" s="15"/>
      <c r="E18" s="23"/>
      <c r="F18" s="24"/>
      <c r="G18" s="43"/>
      <c r="H18" s="26" t="str">
        <f t="shared" si="0"/>
        <v/>
      </c>
      <c r="I18" s="47"/>
      <c r="K18" s="43"/>
      <c r="L18" s="43"/>
      <c r="M18" s="43"/>
      <c r="N18" s="43"/>
    </row>
    <row r="19" spans="2:18" ht="26.4" x14ac:dyDescent="0.25">
      <c r="B19" s="53" t="s">
        <v>87</v>
      </c>
      <c r="C19" s="15" t="s">
        <v>1130</v>
      </c>
      <c r="D19" s="15"/>
      <c r="E19" s="23" t="s">
        <v>44</v>
      </c>
      <c r="F19" s="24">
        <v>2</v>
      </c>
      <c r="G19" s="43"/>
      <c r="H19" s="26">
        <f t="shared" si="0"/>
        <v>0</v>
      </c>
      <c r="K19" s="43"/>
      <c r="L19" s="43"/>
      <c r="M19" s="43"/>
      <c r="N19" s="43"/>
    </row>
    <row r="20" spans="2:18" x14ac:dyDescent="0.25">
      <c r="B20" s="53"/>
      <c r="C20" s="15"/>
      <c r="D20" s="15"/>
      <c r="E20" s="23"/>
      <c r="F20" s="24"/>
      <c r="G20" s="43"/>
      <c r="H20" s="26" t="str">
        <f t="shared" si="0"/>
        <v/>
      </c>
      <c r="K20" s="43"/>
      <c r="L20" s="43"/>
      <c r="M20" s="43"/>
      <c r="N20" s="43"/>
    </row>
    <row r="21" spans="2:18" x14ac:dyDescent="0.25">
      <c r="B21" s="53" t="s">
        <v>88</v>
      </c>
      <c r="C21" s="15" t="s">
        <v>92</v>
      </c>
      <c r="D21" s="15"/>
      <c r="E21" s="23" t="s">
        <v>44</v>
      </c>
      <c r="F21" s="24">
        <v>2</v>
      </c>
      <c r="G21" s="43"/>
      <c r="H21" s="26">
        <f t="shared" si="0"/>
        <v>0</v>
      </c>
      <c r="K21" s="43"/>
      <c r="L21" s="43"/>
      <c r="M21" s="43"/>
      <c r="N21" s="43"/>
    </row>
    <row r="22" spans="2:18" x14ac:dyDescent="0.25">
      <c r="B22" s="53"/>
      <c r="C22" s="15"/>
      <c r="D22" s="15"/>
      <c r="E22" s="23"/>
      <c r="F22" s="24"/>
      <c r="G22" s="43"/>
      <c r="H22" s="26" t="str">
        <f t="shared" si="0"/>
        <v/>
      </c>
      <c r="K22" s="43"/>
      <c r="L22" s="43"/>
      <c r="M22" s="43"/>
      <c r="N22" s="43"/>
    </row>
    <row r="23" spans="2:18" ht="26.4" x14ac:dyDescent="0.25">
      <c r="B23" s="53" t="s">
        <v>89</v>
      </c>
      <c r="C23" s="15" t="s">
        <v>1131</v>
      </c>
      <c r="D23" s="15"/>
      <c r="E23" s="23" t="s">
        <v>44</v>
      </c>
      <c r="F23" s="24">
        <v>1</v>
      </c>
      <c r="G23" s="43"/>
      <c r="H23" s="26">
        <f t="shared" si="0"/>
        <v>0</v>
      </c>
      <c r="K23" s="43"/>
      <c r="L23" s="43"/>
      <c r="M23" s="43"/>
      <c r="N23" s="43"/>
    </row>
    <row r="24" spans="2:18" x14ac:dyDescent="0.25">
      <c r="B24" s="53"/>
      <c r="C24" s="29"/>
      <c r="D24" s="147"/>
      <c r="E24" s="23"/>
      <c r="F24" s="24"/>
      <c r="G24" s="43"/>
      <c r="H24" s="26" t="str">
        <f t="shared" si="0"/>
        <v/>
      </c>
      <c r="K24" s="43"/>
      <c r="L24" s="43"/>
      <c r="M24" s="43"/>
      <c r="N24" s="43"/>
      <c r="R24" s="56"/>
    </row>
    <row r="25" spans="2:18" x14ac:dyDescent="0.2">
      <c r="B25" s="53" t="s">
        <v>93</v>
      </c>
      <c r="C25" s="15" t="s">
        <v>95</v>
      </c>
      <c r="D25" s="15"/>
      <c r="E25" s="23" t="s">
        <v>648</v>
      </c>
      <c r="F25" s="24">
        <v>200000</v>
      </c>
      <c r="G25" s="400">
        <v>1</v>
      </c>
      <c r="H25" s="401">
        <f t="shared" si="0"/>
        <v>200000</v>
      </c>
      <c r="I25" s="44"/>
      <c r="K25" s="400"/>
      <c r="L25" s="400"/>
      <c r="M25" s="400"/>
      <c r="N25" s="400"/>
    </row>
    <row r="26" spans="2:18" x14ac:dyDescent="0.2">
      <c r="B26" s="53"/>
      <c r="C26" s="15"/>
      <c r="D26" s="15"/>
      <c r="E26" s="23"/>
      <c r="F26" s="24"/>
      <c r="G26" s="400"/>
      <c r="H26" s="401" t="str">
        <f t="shared" si="0"/>
        <v/>
      </c>
      <c r="I26" s="44"/>
      <c r="K26" s="400"/>
      <c r="L26" s="400"/>
      <c r="M26" s="400"/>
      <c r="N26" s="400"/>
    </row>
    <row r="27" spans="2:18" ht="26.4" x14ac:dyDescent="0.2">
      <c r="B27" s="53" t="s">
        <v>94</v>
      </c>
      <c r="C27" s="15" t="s">
        <v>96</v>
      </c>
      <c r="D27" s="15"/>
      <c r="E27" s="23" t="s">
        <v>36</v>
      </c>
      <c r="F27" s="24">
        <f>H25</f>
        <v>200000</v>
      </c>
      <c r="G27" s="476"/>
      <c r="H27" s="401">
        <f t="shared" si="0"/>
        <v>0</v>
      </c>
      <c r="I27" s="44"/>
      <c r="K27" s="400"/>
      <c r="L27" s="400"/>
      <c r="M27" s="400"/>
      <c r="N27" s="400"/>
    </row>
    <row r="28" spans="2:18" x14ac:dyDescent="0.2">
      <c r="B28" s="53"/>
      <c r="C28" s="15"/>
      <c r="D28" s="15"/>
      <c r="E28" s="23"/>
      <c r="F28" s="24"/>
      <c r="G28" s="400"/>
      <c r="H28" s="401" t="str">
        <f t="shared" ref="H28:H51" si="1">IF(E28="","",F28*G28)</f>
        <v/>
      </c>
      <c r="I28" s="45"/>
      <c r="K28" s="400"/>
      <c r="L28" s="400"/>
      <c r="M28" s="400"/>
      <c r="N28" s="400"/>
    </row>
    <row r="29" spans="2:18" x14ac:dyDescent="0.25">
      <c r="B29" s="53" t="s">
        <v>97</v>
      </c>
      <c r="C29" s="15" t="s">
        <v>98</v>
      </c>
      <c r="D29" s="15"/>
      <c r="E29" s="16"/>
      <c r="F29" s="27"/>
      <c r="G29" s="400"/>
      <c r="H29" s="401" t="str">
        <f t="shared" si="1"/>
        <v/>
      </c>
      <c r="I29" s="19"/>
      <c r="K29" s="400"/>
      <c r="L29" s="400"/>
      <c r="M29" s="400"/>
      <c r="N29" s="400"/>
    </row>
    <row r="30" spans="2:18" s="39" customFormat="1" x14ac:dyDescent="0.25">
      <c r="B30" s="91"/>
      <c r="C30" s="42"/>
      <c r="D30" s="42"/>
      <c r="E30" s="16"/>
      <c r="F30" s="27"/>
      <c r="G30" s="400"/>
      <c r="H30" s="401" t="str">
        <f t="shared" si="1"/>
        <v/>
      </c>
      <c r="I30" s="19"/>
      <c r="J30" s="1"/>
      <c r="K30" s="400"/>
      <c r="L30" s="400"/>
      <c r="M30" s="400"/>
      <c r="N30" s="400"/>
    </row>
    <row r="31" spans="2:18" ht="15.6" x14ac:dyDescent="0.2">
      <c r="B31" s="53" t="s">
        <v>99</v>
      </c>
      <c r="C31" s="15" t="s">
        <v>100</v>
      </c>
      <c r="D31" s="15"/>
      <c r="E31" s="23" t="s">
        <v>80</v>
      </c>
      <c r="F31" s="24">
        <v>14</v>
      </c>
      <c r="G31" s="400"/>
      <c r="H31" s="401">
        <f t="shared" si="1"/>
        <v>0</v>
      </c>
      <c r="I31" s="45"/>
      <c r="K31" s="400"/>
      <c r="L31" s="400"/>
      <c r="M31" s="400"/>
      <c r="N31" s="400"/>
    </row>
    <row r="32" spans="2:18" x14ac:dyDescent="0.2">
      <c r="B32" s="53"/>
      <c r="C32" s="15"/>
      <c r="D32" s="15"/>
      <c r="E32" s="23"/>
      <c r="F32" s="24"/>
      <c r="G32" s="400"/>
      <c r="H32" s="401" t="str">
        <f t="shared" si="1"/>
        <v/>
      </c>
      <c r="I32" s="45"/>
      <c r="K32" s="400"/>
      <c r="L32" s="400"/>
      <c r="M32" s="400"/>
      <c r="N32" s="400"/>
    </row>
    <row r="33" spans="2:14" ht="15.6" x14ac:dyDescent="0.25">
      <c r="B33" s="53" t="s">
        <v>101</v>
      </c>
      <c r="C33" s="15" t="s">
        <v>104</v>
      </c>
      <c r="D33" s="15"/>
      <c r="E33" s="23" t="s">
        <v>80</v>
      </c>
      <c r="F33" s="24">
        <v>10</v>
      </c>
      <c r="G33" s="43"/>
      <c r="H33" s="26">
        <f t="shared" si="1"/>
        <v>0</v>
      </c>
      <c r="I33" s="44"/>
      <c r="K33" s="43"/>
      <c r="L33" s="43"/>
      <c r="M33" s="43"/>
      <c r="N33" s="43"/>
    </row>
    <row r="34" spans="2:14" x14ac:dyDescent="0.25">
      <c r="B34" s="53"/>
      <c r="C34" s="15"/>
      <c r="D34" s="15"/>
      <c r="E34" s="23"/>
      <c r="F34" s="24"/>
      <c r="G34" s="43"/>
      <c r="H34" s="26" t="str">
        <f t="shared" si="1"/>
        <v/>
      </c>
      <c r="I34" s="44"/>
      <c r="K34" s="43"/>
      <c r="L34" s="43"/>
      <c r="M34" s="43"/>
      <c r="N34" s="43"/>
    </row>
    <row r="35" spans="2:14" ht="15.6" x14ac:dyDescent="0.25">
      <c r="B35" s="53" t="s">
        <v>102</v>
      </c>
      <c r="C35" s="15" t="s">
        <v>105</v>
      </c>
      <c r="D35" s="15"/>
      <c r="E35" s="23" t="s">
        <v>80</v>
      </c>
      <c r="F35" s="23">
        <v>20</v>
      </c>
      <c r="G35" s="43"/>
      <c r="H35" s="26">
        <f t="shared" si="1"/>
        <v>0</v>
      </c>
      <c r="I35" s="44"/>
      <c r="K35" s="43"/>
      <c r="L35" s="43"/>
      <c r="M35" s="43"/>
      <c r="N35" s="43"/>
    </row>
    <row r="36" spans="2:14" x14ac:dyDescent="0.25">
      <c r="B36" s="53"/>
      <c r="C36" s="15"/>
      <c r="D36" s="15"/>
      <c r="E36" s="23"/>
      <c r="F36" s="23"/>
      <c r="G36" s="43"/>
      <c r="H36" s="26" t="str">
        <f t="shared" si="1"/>
        <v/>
      </c>
      <c r="I36" s="44"/>
      <c r="K36" s="43"/>
      <c r="L36" s="43"/>
      <c r="M36" s="43"/>
      <c r="N36" s="43"/>
    </row>
    <row r="37" spans="2:14" ht="15.6" x14ac:dyDescent="0.25">
      <c r="B37" s="53" t="s">
        <v>103</v>
      </c>
      <c r="C37" s="15" t="s">
        <v>106</v>
      </c>
      <c r="D37" s="15"/>
      <c r="E37" s="23" t="s">
        <v>80</v>
      </c>
      <c r="F37" s="23">
        <v>10</v>
      </c>
      <c r="G37" s="43"/>
      <c r="H37" s="26">
        <f t="shared" si="1"/>
        <v>0</v>
      </c>
      <c r="I37" s="44"/>
      <c r="K37" s="43"/>
      <c r="L37" s="43"/>
      <c r="M37" s="43"/>
      <c r="N37" s="43"/>
    </row>
    <row r="38" spans="2:14" x14ac:dyDescent="0.25">
      <c r="B38" s="53"/>
      <c r="C38" s="15"/>
      <c r="D38" s="15"/>
      <c r="E38" s="23"/>
      <c r="F38" s="23"/>
      <c r="G38" s="43"/>
      <c r="H38" s="26" t="str">
        <f t="shared" si="1"/>
        <v/>
      </c>
      <c r="I38" s="44"/>
      <c r="K38" s="43"/>
      <c r="L38" s="43"/>
      <c r="M38" s="43"/>
      <c r="N38" s="43"/>
    </row>
    <row r="39" spans="2:14" x14ac:dyDescent="0.25">
      <c r="B39" s="53"/>
      <c r="C39" s="15"/>
      <c r="D39" s="15"/>
      <c r="E39" s="23"/>
      <c r="F39" s="23"/>
      <c r="G39" s="41"/>
      <c r="H39" s="26"/>
      <c r="I39" s="44"/>
      <c r="K39" s="41"/>
      <c r="L39" s="41"/>
      <c r="M39" s="41"/>
      <c r="N39" s="41"/>
    </row>
    <row r="40" spans="2:14" x14ac:dyDescent="0.25">
      <c r="B40" s="53"/>
      <c r="C40" s="15"/>
      <c r="D40" s="15"/>
      <c r="E40" s="23"/>
      <c r="F40" s="23"/>
      <c r="G40" s="41"/>
      <c r="H40" s="26"/>
      <c r="I40" s="44"/>
      <c r="K40" s="41"/>
      <c r="L40" s="41"/>
      <c r="M40" s="41"/>
      <c r="N40" s="41"/>
    </row>
    <row r="41" spans="2:14" x14ac:dyDescent="0.25">
      <c r="B41" s="53"/>
      <c r="C41" s="15"/>
      <c r="D41" s="15"/>
      <c r="E41" s="23"/>
      <c r="F41" s="23"/>
      <c r="G41" s="41"/>
      <c r="H41" s="26"/>
      <c r="I41" s="44"/>
      <c r="K41" s="41"/>
      <c r="L41" s="41"/>
      <c r="M41" s="41"/>
      <c r="N41" s="41"/>
    </row>
    <row r="42" spans="2:14" x14ac:dyDescent="0.25">
      <c r="B42" s="53"/>
      <c r="C42" s="15"/>
      <c r="D42" s="15"/>
      <c r="E42" s="23"/>
      <c r="F42" s="23"/>
      <c r="G42" s="41"/>
      <c r="H42" s="26"/>
      <c r="I42" s="44"/>
      <c r="K42" s="41"/>
      <c r="L42" s="41"/>
      <c r="M42" s="41"/>
      <c r="N42" s="41"/>
    </row>
    <row r="43" spans="2:14" ht="14.25" customHeight="1" x14ac:dyDescent="0.25">
      <c r="B43" s="53"/>
      <c r="C43" s="15"/>
      <c r="D43" s="15"/>
      <c r="E43" s="23"/>
      <c r="F43" s="23"/>
      <c r="G43" s="41"/>
      <c r="H43" s="26"/>
      <c r="I43" s="44"/>
      <c r="K43" s="41"/>
      <c r="L43" s="41"/>
      <c r="M43" s="41"/>
      <c r="N43" s="41"/>
    </row>
    <row r="44" spans="2:14" ht="14.25" customHeight="1" x14ac:dyDescent="0.25">
      <c r="B44" s="53"/>
      <c r="C44" s="15"/>
      <c r="D44" s="15"/>
      <c r="E44" s="23"/>
      <c r="F44" s="23"/>
      <c r="G44" s="41"/>
      <c r="H44" s="26" t="str">
        <f t="shared" si="1"/>
        <v/>
      </c>
      <c r="I44" s="44"/>
      <c r="K44" s="41"/>
      <c r="L44" s="41"/>
      <c r="M44" s="41"/>
      <c r="N44" s="41"/>
    </row>
    <row r="45" spans="2:14" ht="14.25" customHeight="1" x14ac:dyDescent="0.25">
      <c r="B45" s="53"/>
      <c r="C45" s="15"/>
      <c r="D45" s="15"/>
      <c r="E45" s="23"/>
      <c r="F45" s="23"/>
      <c r="G45" s="41"/>
      <c r="H45" s="26" t="str">
        <f t="shared" si="1"/>
        <v/>
      </c>
      <c r="I45" s="44"/>
      <c r="K45" s="41"/>
      <c r="L45" s="41"/>
      <c r="M45" s="41"/>
      <c r="N45" s="41"/>
    </row>
    <row r="46" spans="2:14" ht="14.25" customHeight="1" x14ac:dyDescent="0.25">
      <c r="B46" s="53"/>
      <c r="C46" s="15"/>
      <c r="D46" s="15"/>
      <c r="E46" s="23"/>
      <c r="F46" s="23"/>
      <c r="G46" s="41"/>
      <c r="H46" s="26" t="str">
        <f t="shared" si="1"/>
        <v/>
      </c>
      <c r="I46" s="44"/>
      <c r="K46" s="41"/>
      <c r="L46" s="41"/>
      <c r="M46" s="41"/>
      <c r="N46" s="41"/>
    </row>
    <row r="47" spans="2:14" ht="14.25" customHeight="1" x14ac:dyDescent="0.25">
      <c r="B47" s="53"/>
      <c r="C47" s="15"/>
      <c r="D47" s="15"/>
      <c r="E47" s="23"/>
      <c r="F47" s="23"/>
      <c r="G47" s="41"/>
      <c r="H47" s="26" t="str">
        <f t="shared" si="1"/>
        <v/>
      </c>
      <c r="I47" s="44"/>
      <c r="K47" s="41"/>
      <c r="L47" s="41"/>
      <c r="M47" s="41"/>
      <c r="N47" s="41"/>
    </row>
    <row r="48" spans="2:14" ht="14.25" customHeight="1" x14ac:dyDescent="0.25">
      <c r="B48" s="53"/>
      <c r="C48" s="15"/>
      <c r="D48" s="15"/>
      <c r="E48" s="23"/>
      <c r="F48" s="23"/>
      <c r="G48" s="41"/>
      <c r="H48" s="26" t="str">
        <f t="shared" si="1"/>
        <v/>
      </c>
      <c r="I48" s="44"/>
      <c r="K48" s="41"/>
      <c r="L48" s="41"/>
      <c r="M48" s="41"/>
      <c r="N48" s="41"/>
    </row>
    <row r="49" spans="2:14" ht="14.25" customHeight="1" x14ac:dyDescent="0.25">
      <c r="B49" s="53"/>
      <c r="C49" s="15"/>
      <c r="D49" s="15"/>
      <c r="E49" s="23"/>
      <c r="F49" s="23"/>
      <c r="G49" s="41"/>
      <c r="H49" s="26" t="str">
        <f t="shared" si="1"/>
        <v/>
      </c>
      <c r="I49" s="44"/>
      <c r="K49" s="41"/>
      <c r="L49" s="41"/>
      <c r="M49" s="41"/>
      <c r="N49" s="41"/>
    </row>
    <row r="50" spans="2:14" ht="14.25" customHeight="1" x14ac:dyDescent="0.25">
      <c r="B50" s="53"/>
      <c r="C50" s="15"/>
      <c r="D50" s="15"/>
      <c r="E50" s="23"/>
      <c r="F50" s="23"/>
      <c r="G50" s="41"/>
      <c r="H50" s="26" t="str">
        <f t="shared" si="1"/>
        <v/>
      </c>
      <c r="I50" s="44"/>
      <c r="K50" s="41"/>
      <c r="L50" s="41"/>
      <c r="M50" s="41"/>
      <c r="N50" s="41"/>
    </row>
    <row r="51" spans="2:14" x14ac:dyDescent="0.25">
      <c r="B51" s="53"/>
      <c r="C51" s="15"/>
      <c r="D51" s="15"/>
      <c r="E51" s="23"/>
      <c r="F51" s="23"/>
      <c r="G51" s="41"/>
      <c r="H51" s="26" t="str">
        <f t="shared" si="1"/>
        <v/>
      </c>
      <c r="I51" s="44"/>
      <c r="K51" s="41"/>
      <c r="L51" s="41"/>
      <c r="M51" s="41"/>
      <c r="N51" s="41"/>
    </row>
    <row r="52" spans="2:14" s="31" customFormat="1" ht="20.100000000000001" customHeight="1" x14ac:dyDescent="0.25">
      <c r="B52" s="87" t="str">
        <f>$B$11</f>
        <v>C1.4</v>
      </c>
      <c r="C52" s="33" t="s">
        <v>12</v>
      </c>
      <c r="D52" s="33"/>
      <c r="E52" s="34"/>
      <c r="F52" s="35"/>
      <c r="G52" s="34"/>
      <c r="H52" s="36">
        <f>SUM(H10:H51)</f>
        <v>200000</v>
      </c>
      <c r="I52" s="37"/>
      <c r="J52" s="1"/>
      <c r="K52" s="34"/>
      <c r="L52" s="34"/>
      <c r="M52" s="34"/>
      <c r="N52" s="34"/>
    </row>
    <row r="53" spans="2:14" x14ac:dyDescent="0.25">
      <c r="B53" s="498" t="str">
        <f>Client1</f>
        <v>Province of KwaZulu-Natal</v>
      </c>
      <c r="C53" s="498"/>
      <c r="D53" s="498"/>
      <c r="E53" s="498"/>
      <c r="F53" s="496" t="str">
        <f>"Contract No. "&amp;ContractNo</f>
        <v>Contract No. ZNB02215/00000/00/HOD/INF/23/T</v>
      </c>
      <c r="G53" s="496"/>
      <c r="H53" s="496"/>
    </row>
    <row r="54" spans="2:14" x14ac:dyDescent="0.25">
      <c r="B54" s="498" t="str">
        <f>Client2</f>
        <v>Department of Transport</v>
      </c>
      <c r="C54" s="498"/>
      <c r="D54" s="498"/>
      <c r="E54" s="498"/>
      <c r="F54" s="496"/>
      <c r="G54" s="496"/>
      <c r="H54" s="496"/>
    </row>
    <row r="55" spans="2:14" x14ac:dyDescent="0.25">
      <c r="B55" s="499"/>
      <c r="C55" s="499"/>
      <c r="D55" s="499"/>
      <c r="E55" s="499"/>
      <c r="F55" s="497"/>
      <c r="G55" s="497"/>
      <c r="H55" s="497"/>
    </row>
    <row r="56" spans="2:14" x14ac:dyDescent="0.25">
      <c r="B56" s="507" t="s">
        <v>8</v>
      </c>
      <c r="C56" s="508"/>
      <c r="D56" s="508"/>
      <c r="E56" s="508"/>
      <c r="F56" s="508"/>
      <c r="G56" s="508"/>
      <c r="H56" s="509" t="str">
        <f>H5</f>
        <v>CHAPTER C1.4</v>
      </c>
      <c r="I56" s="6"/>
    </row>
    <row r="57" spans="2:14" x14ac:dyDescent="0.25">
      <c r="B57" s="500" t="str">
        <f>ContractDescription</f>
        <v>UPGRADING OF MAIN ROAD P8/3 FROM GRAVEL TO BLACKTOP BETWEEN KM 17.560 AND KM 24.221 IN THE PIETERMARITZBURG REGION</v>
      </c>
      <c r="C57" s="501"/>
      <c r="D57" s="501"/>
      <c r="E57" s="501"/>
      <c r="F57" s="501"/>
      <c r="G57" s="501"/>
      <c r="H57" s="496"/>
      <c r="I57" s="9"/>
    </row>
    <row r="58" spans="2:14" x14ac:dyDescent="0.25">
      <c r="B58" s="500"/>
      <c r="C58" s="501"/>
      <c r="D58" s="501"/>
      <c r="E58" s="501"/>
      <c r="F58" s="501"/>
      <c r="G58" s="501"/>
      <c r="H58" s="496"/>
      <c r="I58" s="9"/>
    </row>
    <row r="59" spans="2:14" x14ac:dyDescent="0.25">
      <c r="B59" s="502"/>
      <c r="C59" s="503"/>
      <c r="D59" s="503"/>
      <c r="E59" s="503"/>
      <c r="F59" s="503"/>
      <c r="G59" s="503"/>
      <c r="H59" s="497"/>
      <c r="I59" s="9"/>
    </row>
    <row r="60" spans="2:14" s="10" customFormat="1" ht="25.2" customHeight="1" x14ac:dyDescent="0.25">
      <c r="B60" s="81" t="s">
        <v>0</v>
      </c>
      <c r="C60" s="12" t="s">
        <v>1</v>
      </c>
      <c r="D60" s="12" t="s">
        <v>1602</v>
      </c>
      <c r="E60" s="12" t="s">
        <v>2</v>
      </c>
      <c r="F60" s="12" t="s">
        <v>3</v>
      </c>
      <c r="G60" s="12" t="s">
        <v>4</v>
      </c>
      <c r="H60" s="12" t="s">
        <v>5</v>
      </c>
      <c r="I60" s="13"/>
      <c r="J60" s="1"/>
      <c r="K60" s="12"/>
      <c r="L60" s="12"/>
      <c r="M60" s="12"/>
      <c r="N60" s="12"/>
    </row>
    <row r="61" spans="2:14" s="31" customFormat="1" ht="20.100000000000001" customHeight="1" x14ac:dyDescent="0.25">
      <c r="B61" s="87"/>
      <c r="C61" s="33" t="s">
        <v>37</v>
      </c>
      <c r="D61" s="33"/>
      <c r="E61" s="34"/>
      <c r="F61" s="35"/>
      <c r="G61" s="34"/>
      <c r="H61" s="36">
        <f>H52</f>
        <v>200000</v>
      </c>
      <c r="I61" s="37"/>
      <c r="J61" s="1"/>
      <c r="K61" s="34"/>
      <c r="L61" s="34"/>
      <c r="M61" s="34"/>
      <c r="N61" s="34"/>
    </row>
    <row r="62" spans="2:14" x14ac:dyDescent="0.25">
      <c r="B62" s="53"/>
      <c r="C62" s="15"/>
      <c r="D62" s="15"/>
      <c r="E62" s="23"/>
      <c r="F62" s="23"/>
      <c r="G62" s="41"/>
      <c r="H62" s="26" t="str">
        <f t="shared" ref="H62:H87" si="2">IF(E62="","",F62*G62)</f>
        <v/>
      </c>
      <c r="I62" s="44"/>
      <c r="K62" s="41"/>
      <c r="L62" s="41"/>
      <c r="M62" s="41"/>
      <c r="N62" s="41"/>
    </row>
    <row r="63" spans="2:14" x14ac:dyDescent="0.25">
      <c r="B63" s="53" t="s">
        <v>107</v>
      </c>
      <c r="C63" s="15" t="s">
        <v>108</v>
      </c>
      <c r="D63" s="15"/>
      <c r="E63" s="23"/>
      <c r="F63" s="23"/>
      <c r="G63" s="41"/>
      <c r="H63" s="26" t="str">
        <f t="shared" si="2"/>
        <v/>
      </c>
      <c r="I63" s="44"/>
      <c r="K63" s="41"/>
      <c r="L63" s="41"/>
      <c r="M63" s="41"/>
      <c r="N63" s="41"/>
    </row>
    <row r="64" spans="2:14" x14ac:dyDescent="0.25">
      <c r="B64" s="53"/>
      <c r="C64" s="15"/>
      <c r="D64" s="15"/>
      <c r="E64" s="23"/>
      <c r="F64" s="23"/>
      <c r="G64" s="41"/>
      <c r="H64" s="26" t="str">
        <f t="shared" si="2"/>
        <v/>
      </c>
      <c r="I64" s="44"/>
      <c r="K64" s="41"/>
      <c r="L64" s="41"/>
      <c r="M64" s="41"/>
      <c r="N64" s="41"/>
    </row>
    <row r="65" spans="2:14" x14ac:dyDescent="0.25">
      <c r="B65" s="53" t="s">
        <v>109</v>
      </c>
      <c r="C65" s="15" t="s">
        <v>110</v>
      </c>
      <c r="D65" s="15"/>
      <c r="E65" s="23" t="s">
        <v>44</v>
      </c>
      <c r="F65" s="23">
        <v>2</v>
      </c>
      <c r="G65" s="43"/>
      <c r="H65" s="26">
        <f t="shared" si="2"/>
        <v>0</v>
      </c>
      <c r="I65" s="44"/>
      <c r="K65" s="43"/>
      <c r="L65" s="43"/>
      <c r="M65" s="43"/>
      <c r="N65" s="43"/>
    </row>
    <row r="66" spans="2:14" x14ac:dyDescent="0.25">
      <c r="B66" s="53"/>
      <c r="C66" s="15"/>
      <c r="D66" s="15"/>
      <c r="E66" s="23"/>
      <c r="F66" s="23"/>
      <c r="G66" s="43"/>
      <c r="H66" s="26" t="str">
        <f t="shared" si="2"/>
        <v/>
      </c>
      <c r="I66" s="44"/>
      <c r="K66" s="43"/>
      <c r="L66" s="43"/>
      <c r="M66" s="43"/>
      <c r="N66" s="43"/>
    </row>
    <row r="67" spans="2:14" x14ac:dyDescent="0.25">
      <c r="B67" s="53" t="s">
        <v>119</v>
      </c>
      <c r="C67" s="15" t="s">
        <v>111</v>
      </c>
      <c r="D67" s="15"/>
      <c r="E67" s="23" t="s">
        <v>44</v>
      </c>
      <c r="F67" s="23">
        <v>8</v>
      </c>
      <c r="G67" s="43"/>
      <c r="H67" s="26">
        <f t="shared" si="2"/>
        <v>0</v>
      </c>
      <c r="I67" s="44"/>
      <c r="K67" s="43"/>
      <c r="L67" s="43"/>
      <c r="M67" s="43"/>
      <c r="N67" s="43"/>
    </row>
    <row r="68" spans="2:14" x14ac:dyDescent="0.25">
      <c r="B68" s="53"/>
      <c r="C68" s="15"/>
      <c r="D68" s="15"/>
      <c r="E68" s="23"/>
      <c r="F68" s="23"/>
      <c r="G68" s="43"/>
      <c r="H68" s="26" t="str">
        <f t="shared" si="2"/>
        <v/>
      </c>
      <c r="I68" s="44"/>
      <c r="K68" s="43"/>
      <c r="L68" s="43"/>
      <c r="M68" s="43"/>
      <c r="N68" s="43"/>
    </row>
    <row r="69" spans="2:14" x14ac:dyDescent="0.25">
      <c r="B69" s="53" t="s">
        <v>120</v>
      </c>
      <c r="C69" s="15" t="s">
        <v>112</v>
      </c>
      <c r="D69" s="15"/>
      <c r="E69" s="23" t="s">
        <v>44</v>
      </c>
      <c r="F69" s="23">
        <v>2</v>
      </c>
      <c r="G69" s="43"/>
      <c r="H69" s="26">
        <f t="shared" si="2"/>
        <v>0</v>
      </c>
      <c r="I69" s="44"/>
      <c r="K69" s="43"/>
      <c r="L69" s="43"/>
      <c r="M69" s="43"/>
      <c r="N69" s="43"/>
    </row>
    <row r="70" spans="2:14" x14ac:dyDescent="0.25">
      <c r="B70" s="53"/>
      <c r="C70" s="15"/>
      <c r="D70" s="15"/>
      <c r="E70" s="23"/>
      <c r="F70" s="23"/>
      <c r="G70" s="43"/>
      <c r="H70" s="26" t="str">
        <f t="shared" si="2"/>
        <v/>
      </c>
      <c r="I70" s="44"/>
      <c r="K70" s="43"/>
      <c r="L70" s="43"/>
      <c r="M70" s="43"/>
      <c r="N70" s="43"/>
    </row>
    <row r="71" spans="2:14" ht="26.4" x14ac:dyDescent="0.25">
      <c r="B71" s="53" t="s">
        <v>121</v>
      </c>
      <c r="C71" s="15" t="s">
        <v>113</v>
      </c>
      <c r="D71" s="15"/>
      <c r="E71" s="23" t="s">
        <v>44</v>
      </c>
      <c r="F71" s="23">
        <v>5</v>
      </c>
      <c r="G71" s="43"/>
      <c r="H71" s="26">
        <f t="shared" si="2"/>
        <v>0</v>
      </c>
      <c r="I71" s="44"/>
      <c r="K71" s="43"/>
      <c r="L71" s="43"/>
      <c r="M71" s="43"/>
      <c r="N71" s="43"/>
    </row>
    <row r="72" spans="2:14" x14ac:dyDescent="0.25">
      <c r="B72" s="53"/>
      <c r="C72" s="15"/>
      <c r="D72" s="15"/>
      <c r="E72" s="23"/>
      <c r="F72" s="23"/>
      <c r="G72" s="43"/>
      <c r="H72" s="26" t="str">
        <f t="shared" si="2"/>
        <v/>
      </c>
      <c r="I72" s="44"/>
      <c r="K72" s="43"/>
      <c r="L72" s="43"/>
      <c r="M72" s="43"/>
      <c r="N72" s="43"/>
    </row>
    <row r="73" spans="2:14" x14ac:dyDescent="0.25">
      <c r="B73" s="53" t="s">
        <v>122</v>
      </c>
      <c r="C73" s="15" t="s">
        <v>114</v>
      </c>
      <c r="D73" s="15"/>
      <c r="E73" s="23" t="s">
        <v>44</v>
      </c>
      <c r="F73" s="23">
        <v>1</v>
      </c>
      <c r="G73" s="43"/>
      <c r="H73" s="26">
        <f t="shared" si="2"/>
        <v>0</v>
      </c>
      <c r="I73" s="44"/>
      <c r="K73" s="43"/>
      <c r="L73" s="43"/>
      <c r="M73" s="43"/>
      <c r="N73" s="43"/>
    </row>
    <row r="74" spans="2:14" x14ac:dyDescent="0.25">
      <c r="B74" s="53"/>
      <c r="C74" s="15"/>
      <c r="D74" s="15"/>
      <c r="E74" s="23"/>
      <c r="F74" s="23"/>
      <c r="G74" s="43"/>
      <c r="H74" s="26" t="str">
        <f t="shared" si="2"/>
        <v/>
      </c>
      <c r="I74" s="44"/>
      <c r="K74" s="43"/>
      <c r="L74" s="43"/>
      <c r="M74" s="43"/>
      <c r="N74" s="43"/>
    </row>
    <row r="75" spans="2:14" x14ac:dyDescent="0.25">
      <c r="B75" s="53" t="s">
        <v>123</v>
      </c>
      <c r="C75" s="15" t="s">
        <v>115</v>
      </c>
      <c r="D75" s="15"/>
      <c r="E75" s="23" t="s">
        <v>44</v>
      </c>
      <c r="F75" s="23">
        <v>1</v>
      </c>
      <c r="G75" s="43"/>
      <c r="H75" s="26">
        <f t="shared" si="2"/>
        <v>0</v>
      </c>
      <c r="I75" s="44"/>
      <c r="K75" s="43"/>
      <c r="L75" s="43"/>
      <c r="M75" s="43"/>
      <c r="N75" s="43"/>
    </row>
    <row r="76" spans="2:14" x14ac:dyDescent="0.25">
      <c r="B76" s="53"/>
      <c r="C76" s="15"/>
      <c r="D76" s="15"/>
      <c r="E76" s="23"/>
      <c r="F76" s="23"/>
      <c r="G76" s="43"/>
      <c r="H76" s="26" t="str">
        <f t="shared" si="2"/>
        <v/>
      </c>
      <c r="I76" s="44"/>
      <c r="K76" s="43"/>
      <c r="L76" s="43"/>
      <c r="M76" s="43"/>
      <c r="N76" s="43"/>
    </row>
    <row r="77" spans="2:14" x14ac:dyDescent="0.25">
      <c r="B77" s="53" t="s">
        <v>124</v>
      </c>
      <c r="C77" s="15" t="s">
        <v>116</v>
      </c>
      <c r="D77" s="15"/>
      <c r="E77" s="23" t="s">
        <v>44</v>
      </c>
      <c r="F77" s="23">
        <v>3</v>
      </c>
      <c r="G77" s="43"/>
      <c r="H77" s="26">
        <f t="shared" si="2"/>
        <v>0</v>
      </c>
      <c r="I77" s="44"/>
      <c r="K77" s="43"/>
      <c r="L77" s="43"/>
      <c r="M77" s="43"/>
      <c r="N77" s="43"/>
    </row>
    <row r="78" spans="2:14" x14ac:dyDescent="0.25">
      <c r="B78" s="53"/>
      <c r="C78" s="15"/>
      <c r="D78" s="15"/>
      <c r="E78" s="23"/>
      <c r="F78" s="23"/>
      <c r="G78" s="43"/>
      <c r="H78" s="26" t="str">
        <f t="shared" si="2"/>
        <v/>
      </c>
      <c r="I78" s="44"/>
      <c r="K78" s="43"/>
      <c r="L78" s="43"/>
      <c r="M78" s="43"/>
      <c r="N78" s="43"/>
    </row>
    <row r="79" spans="2:14" x14ac:dyDescent="0.25">
      <c r="B79" s="53" t="s">
        <v>125</v>
      </c>
      <c r="C79" s="15" t="s">
        <v>117</v>
      </c>
      <c r="D79" s="15"/>
      <c r="E79" s="23" t="s">
        <v>44</v>
      </c>
      <c r="F79" s="23">
        <v>2</v>
      </c>
      <c r="G79" s="43"/>
      <c r="H79" s="26">
        <f t="shared" si="2"/>
        <v>0</v>
      </c>
      <c r="I79" s="44"/>
      <c r="K79" s="43"/>
      <c r="L79" s="43"/>
      <c r="M79" s="43"/>
      <c r="N79" s="43"/>
    </row>
    <row r="80" spans="2:14" x14ac:dyDescent="0.25">
      <c r="B80" s="53"/>
      <c r="C80" s="29"/>
      <c r="D80" s="147"/>
      <c r="E80" s="23"/>
      <c r="F80" s="23"/>
      <c r="G80" s="43"/>
      <c r="H80" s="26" t="str">
        <f t="shared" si="2"/>
        <v/>
      </c>
      <c r="I80" s="44"/>
      <c r="K80" s="43"/>
      <c r="L80" s="43"/>
      <c r="M80" s="43"/>
      <c r="N80" s="43"/>
    </row>
    <row r="81" spans="2:14" x14ac:dyDescent="0.25">
      <c r="B81" s="53" t="s">
        <v>126</v>
      </c>
      <c r="C81" s="29" t="s">
        <v>118</v>
      </c>
      <c r="D81" s="147"/>
      <c r="E81" s="23" t="s">
        <v>44</v>
      </c>
      <c r="F81" s="23">
        <v>3</v>
      </c>
      <c r="G81" s="43"/>
      <c r="H81" s="26">
        <f t="shared" si="2"/>
        <v>0</v>
      </c>
      <c r="I81" s="44"/>
      <c r="K81" s="43"/>
      <c r="L81" s="43"/>
      <c r="M81" s="43"/>
      <c r="N81" s="43"/>
    </row>
    <row r="82" spans="2:14" x14ac:dyDescent="0.25">
      <c r="B82" s="53"/>
      <c r="C82" s="29"/>
      <c r="D82" s="147"/>
      <c r="E82" s="23"/>
      <c r="F82" s="40"/>
      <c r="G82" s="43"/>
      <c r="H82" s="26" t="str">
        <f t="shared" si="2"/>
        <v/>
      </c>
      <c r="K82" s="43"/>
      <c r="L82" s="43"/>
      <c r="M82" s="43"/>
      <c r="N82" s="43"/>
    </row>
    <row r="83" spans="2:14" x14ac:dyDescent="0.25">
      <c r="B83" s="53" t="s">
        <v>127</v>
      </c>
      <c r="C83" s="15" t="s">
        <v>133</v>
      </c>
      <c r="D83" s="15"/>
      <c r="E83" s="23" t="s">
        <v>44</v>
      </c>
      <c r="F83" s="23">
        <v>22</v>
      </c>
      <c r="G83" s="43"/>
      <c r="H83" s="26">
        <f t="shared" si="2"/>
        <v>0</v>
      </c>
      <c r="I83" s="44"/>
      <c r="K83" s="43"/>
      <c r="L83" s="43"/>
      <c r="M83" s="43"/>
      <c r="N83" s="43"/>
    </row>
    <row r="84" spans="2:14" x14ac:dyDescent="0.25">
      <c r="B84" s="53"/>
      <c r="C84" s="29"/>
      <c r="D84" s="147"/>
      <c r="E84" s="23"/>
      <c r="F84" s="23"/>
      <c r="G84" s="43"/>
      <c r="H84" s="26" t="str">
        <f t="shared" si="2"/>
        <v/>
      </c>
      <c r="I84" s="44"/>
      <c r="K84" s="43"/>
      <c r="L84" s="43"/>
      <c r="M84" s="43"/>
      <c r="N84" s="43"/>
    </row>
    <row r="85" spans="2:14" x14ac:dyDescent="0.25">
      <c r="B85" s="53" t="s">
        <v>128</v>
      </c>
      <c r="C85" s="29" t="s">
        <v>1080</v>
      </c>
      <c r="D85" s="147"/>
      <c r="E85" s="23" t="s">
        <v>44</v>
      </c>
      <c r="F85" s="40">
        <v>2</v>
      </c>
      <c r="G85" s="43"/>
      <c r="H85" s="26">
        <f t="shared" si="2"/>
        <v>0</v>
      </c>
      <c r="I85" s="52"/>
      <c r="K85" s="43"/>
      <c r="L85" s="43"/>
      <c r="M85" s="43"/>
      <c r="N85" s="43"/>
    </row>
    <row r="86" spans="2:14" x14ac:dyDescent="0.25">
      <c r="B86" s="53"/>
      <c r="C86" s="29"/>
      <c r="D86" s="147"/>
      <c r="E86" s="23"/>
      <c r="F86" s="40"/>
      <c r="G86" s="43"/>
      <c r="H86" s="26" t="str">
        <f t="shared" si="2"/>
        <v/>
      </c>
      <c r="I86" s="52"/>
      <c r="K86" s="43"/>
      <c r="L86" s="43"/>
      <c r="M86" s="43"/>
      <c r="N86" s="43"/>
    </row>
    <row r="87" spans="2:14" x14ac:dyDescent="0.25">
      <c r="B87" s="53" t="s">
        <v>129</v>
      </c>
      <c r="C87" s="28" t="s">
        <v>134</v>
      </c>
      <c r="D87" s="146"/>
      <c r="E87" s="23" t="s">
        <v>44</v>
      </c>
      <c r="F87" s="40">
        <v>10</v>
      </c>
      <c r="G87" s="43"/>
      <c r="H87" s="26">
        <f t="shared" si="2"/>
        <v>0</v>
      </c>
      <c r="K87" s="43"/>
      <c r="L87" s="43"/>
      <c r="M87" s="43"/>
      <c r="N87" s="43"/>
    </row>
    <row r="88" spans="2:14" x14ac:dyDescent="0.25">
      <c r="B88" s="53"/>
      <c r="C88" s="28"/>
      <c r="D88" s="146"/>
      <c r="E88" s="23"/>
      <c r="F88" s="40"/>
      <c r="G88" s="43"/>
      <c r="H88" s="26" t="str">
        <f t="shared" ref="H88:H109" si="3">IF(E88="","",F88*G88)</f>
        <v/>
      </c>
      <c r="K88" s="43"/>
      <c r="L88" s="43"/>
      <c r="M88" s="43"/>
      <c r="N88" s="43"/>
    </row>
    <row r="89" spans="2:14" x14ac:dyDescent="0.25">
      <c r="B89" s="53" t="s">
        <v>130</v>
      </c>
      <c r="C89" s="15" t="s">
        <v>135</v>
      </c>
      <c r="D89" s="15"/>
      <c r="E89" s="23" t="s">
        <v>44</v>
      </c>
      <c r="F89" s="23">
        <v>2</v>
      </c>
      <c r="G89" s="43"/>
      <c r="H89" s="26">
        <f t="shared" si="3"/>
        <v>0</v>
      </c>
      <c r="I89" s="44"/>
      <c r="K89" s="43"/>
      <c r="L89" s="43"/>
      <c r="M89" s="43"/>
      <c r="N89" s="43"/>
    </row>
    <row r="90" spans="2:14" x14ac:dyDescent="0.25">
      <c r="B90" s="53"/>
      <c r="C90" s="15"/>
      <c r="D90" s="15"/>
      <c r="E90" s="23"/>
      <c r="F90" s="23"/>
      <c r="G90" s="43"/>
      <c r="H90" s="26" t="str">
        <f t="shared" si="3"/>
        <v/>
      </c>
      <c r="I90" s="44"/>
      <c r="K90" s="43"/>
      <c r="L90" s="43"/>
      <c r="M90" s="43"/>
      <c r="N90" s="43"/>
    </row>
    <row r="91" spans="2:14" x14ac:dyDescent="0.25">
      <c r="B91" s="53" t="s">
        <v>131</v>
      </c>
      <c r="C91" s="15" t="s">
        <v>136</v>
      </c>
      <c r="D91" s="15"/>
      <c r="E91" s="23" t="s">
        <v>44</v>
      </c>
      <c r="F91" s="23">
        <v>2</v>
      </c>
      <c r="G91" s="43"/>
      <c r="H91" s="26">
        <f t="shared" si="3"/>
        <v>0</v>
      </c>
      <c r="I91" s="44"/>
      <c r="K91" s="43"/>
      <c r="L91" s="43"/>
      <c r="M91" s="43"/>
      <c r="N91" s="43"/>
    </row>
    <row r="92" spans="2:14" x14ac:dyDescent="0.25">
      <c r="B92" s="53"/>
      <c r="C92" s="15"/>
      <c r="D92" s="15"/>
      <c r="E92" s="23"/>
      <c r="F92" s="23"/>
      <c r="G92" s="43"/>
      <c r="H92" s="26" t="str">
        <f t="shared" si="3"/>
        <v/>
      </c>
      <c r="I92" s="44"/>
      <c r="K92" s="43"/>
      <c r="L92" s="43"/>
      <c r="M92" s="43"/>
      <c r="N92" s="43"/>
    </row>
    <row r="93" spans="2:14" x14ac:dyDescent="0.25">
      <c r="B93" s="53" t="s">
        <v>132</v>
      </c>
      <c r="C93" s="15" t="s">
        <v>137</v>
      </c>
      <c r="D93" s="15"/>
      <c r="E93" s="23" t="s">
        <v>44</v>
      </c>
      <c r="F93" s="23">
        <v>2</v>
      </c>
      <c r="G93" s="43"/>
      <c r="H93" s="26">
        <f t="shared" si="3"/>
        <v>0</v>
      </c>
      <c r="I93" s="44"/>
      <c r="K93" s="43"/>
      <c r="L93" s="43"/>
      <c r="M93" s="43"/>
      <c r="N93" s="43"/>
    </row>
    <row r="94" spans="2:14" x14ac:dyDescent="0.25">
      <c r="B94" s="53"/>
      <c r="C94" s="15"/>
      <c r="D94" s="15"/>
      <c r="E94" s="23"/>
      <c r="F94" s="23"/>
      <c r="G94" s="43"/>
      <c r="H94" s="26" t="str">
        <f t="shared" si="3"/>
        <v/>
      </c>
      <c r="I94" s="44"/>
      <c r="K94" s="43"/>
      <c r="L94" s="43"/>
      <c r="M94" s="43"/>
      <c r="N94" s="43"/>
    </row>
    <row r="95" spans="2:14" x14ac:dyDescent="0.25">
      <c r="B95" s="53" t="s">
        <v>138</v>
      </c>
      <c r="C95" s="15" t="s">
        <v>152</v>
      </c>
      <c r="D95" s="15"/>
      <c r="E95" s="23" t="s">
        <v>44</v>
      </c>
      <c r="F95" s="23">
        <v>10</v>
      </c>
      <c r="G95" s="43"/>
      <c r="H95" s="26">
        <f t="shared" si="3"/>
        <v>0</v>
      </c>
      <c r="I95" s="44"/>
      <c r="K95" s="43"/>
      <c r="L95" s="43"/>
      <c r="M95" s="43"/>
      <c r="N95" s="43"/>
    </row>
    <row r="96" spans="2:14" x14ac:dyDescent="0.25">
      <c r="B96" s="53"/>
      <c r="C96" s="15"/>
      <c r="D96" s="15"/>
      <c r="E96" s="23"/>
      <c r="F96" s="23"/>
      <c r="G96" s="43"/>
      <c r="H96" s="26" t="str">
        <f t="shared" si="3"/>
        <v/>
      </c>
      <c r="I96" s="44"/>
      <c r="K96" s="43"/>
      <c r="L96" s="43"/>
      <c r="M96" s="43"/>
      <c r="N96" s="43"/>
    </row>
    <row r="97" spans="2:14" x14ac:dyDescent="0.25">
      <c r="B97" s="53" t="s">
        <v>139</v>
      </c>
      <c r="C97" s="15" t="s">
        <v>153</v>
      </c>
      <c r="D97" s="15"/>
      <c r="E97" s="23" t="s">
        <v>44</v>
      </c>
      <c r="F97" s="23">
        <v>3</v>
      </c>
      <c r="G97" s="43"/>
      <c r="H97" s="26">
        <f t="shared" si="3"/>
        <v>0</v>
      </c>
      <c r="I97" s="44"/>
      <c r="K97" s="43"/>
      <c r="L97" s="43"/>
      <c r="M97" s="43"/>
      <c r="N97" s="43"/>
    </row>
    <row r="98" spans="2:14" x14ac:dyDescent="0.25">
      <c r="B98" s="53"/>
      <c r="C98" s="15"/>
      <c r="D98" s="15"/>
      <c r="E98" s="23"/>
      <c r="F98" s="23"/>
      <c r="G98" s="43"/>
      <c r="H98" s="26" t="str">
        <f t="shared" si="3"/>
        <v/>
      </c>
      <c r="I98" s="44"/>
      <c r="K98" s="43"/>
      <c r="L98" s="43"/>
      <c r="M98" s="43"/>
      <c r="N98" s="43"/>
    </row>
    <row r="99" spans="2:14" x14ac:dyDescent="0.25">
      <c r="B99" s="53" t="s">
        <v>140</v>
      </c>
      <c r="C99" s="15" t="s">
        <v>154</v>
      </c>
      <c r="D99" s="15"/>
      <c r="E99" s="23" t="s">
        <v>44</v>
      </c>
      <c r="F99" s="23">
        <v>3</v>
      </c>
      <c r="G99" s="43"/>
      <c r="H99" s="26">
        <f t="shared" si="3"/>
        <v>0</v>
      </c>
      <c r="I99" s="44"/>
      <c r="K99" s="43"/>
      <c r="L99" s="43"/>
      <c r="M99" s="43"/>
      <c r="N99" s="43"/>
    </row>
    <row r="100" spans="2:14" x14ac:dyDescent="0.25">
      <c r="B100" s="53"/>
      <c r="C100" s="15"/>
      <c r="D100" s="15"/>
      <c r="E100" s="23"/>
      <c r="F100" s="23"/>
      <c r="G100" s="43"/>
      <c r="H100" s="26" t="str">
        <f t="shared" si="3"/>
        <v/>
      </c>
      <c r="I100" s="44"/>
      <c r="K100" s="43"/>
      <c r="L100" s="43"/>
      <c r="M100" s="43"/>
      <c r="N100" s="43"/>
    </row>
    <row r="101" spans="2:14" x14ac:dyDescent="0.25">
      <c r="B101" s="53" t="s">
        <v>141</v>
      </c>
      <c r="C101" s="15" t="s">
        <v>155</v>
      </c>
      <c r="D101" s="15"/>
      <c r="E101" s="23" t="s">
        <v>44</v>
      </c>
      <c r="F101" s="23">
        <v>4</v>
      </c>
      <c r="G101" s="43"/>
      <c r="H101" s="26">
        <f t="shared" si="3"/>
        <v>0</v>
      </c>
      <c r="I101" s="44"/>
      <c r="K101" s="43"/>
      <c r="L101" s="43"/>
      <c r="M101" s="43"/>
      <c r="N101" s="43"/>
    </row>
    <row r="102" spans="2:14" x14ac:dyDescent="0.25">
      <c r="B102" s="53"/>
      <c r="C102" s="15"/>
      <c r="D102" s="15"/>
      <c r="E102" s="23"/>
      <c r="F102" s="23"/>
      <c r="G102" s="43"/>
      <c r="H102" s="26" t="str">
        <f t="shared" si="3"/>
        <v/>
      </c>
      <c r="I102" s="44"/>
      <c r="K102" s="43"/>
      <c r="L102" s="43"/>
      <c r="M102" s="43"/>
      <c r="N102" s="43"/>
    </row>
    <row r="103" spans="2:14" x14ac:dyDescent="0.25">
      <c r="B103" s="53" t="s">
        <v>142</v>
      </c>
      <c r="C103" s="15" t="s">
        <v>156</v>
      </c>
      <c r="D103" s="15"/>
      <c r="E103" s="23" t="s">
        <v>44</v>
      </c>
      <c r="F103" s="23">
        <v>1</v>
      </c>
      <c r="G103" s="43"/>
      <c r="H103" s="26">
        <f t="shared" si="3"/>
        <v>0</v>
      </c>
      <c r="I103" s="44"/>
      <c r="K103" s="43"/>
      <c r="L103" s="43"/>
      <c r="M103" s="43"/>
      <c r="N103" s="43"/>
    </row>
    <row r="104" spans="2:14" x14ac:dyDescent="0.25">
      <c r="B104" s="53"/>
      <c r="C104" s="15"/>
      <c r="D104" s="15"/>
      <c r="E104" s="23"/>
      <c r="F104" s="23"/>
      <c r="G104" s="43"/>
      <c r="H104" s="26" t="str">
        <f t="shared" si="3"/>
        <v/>
      </c>
      <c r="I104" s="44"/>
      <c r="K104" s="43"/>
      <c r="L104" s="43"/>
      <c r="M104" s="43"/>
      <c r="N104" s="43"/>
    </row>
    <row r="105" spans="2:14" x14ac:dyDescent="0.25">
      <c r="B105" s="53" t="s">
        <v>143</v>
      </c>
      <c r="C105" s="15" t="s">
        <v>157</v>
      </c>
      <c r="D105" s="15"/>
      <c r="E105" s="23" t="s">
        <v>44</v>
      </c>
      <c r="F105" s="23">
        <v>1</v>
      </c>
      <c r="G105" s="43"/>
      <c r="H105" s="26">
        <f t="shared" si="3"/>
        <v>0</v>
      </c>
      <c r="I105" s="44"/>
      <c r="K105" s="43"/>
      <c r="L105" s="43"/>
      <c r="M105" s="43"/>
      <c r="N105" s="43"/>
    </row>
    <row r="106" spans="2:14" x14ac:dyDescent="0.25">
      <c r="B106" s="53"/>
      <c r="C106" s="15"/>
      <c r="D106" s="15"/>
      <c r="E106" s="23"/>
      <c r="F106" s="23"/>
      <c r="G106" s="43"/>
      <c r="H106" s="26" t="str">
        <f t="shared" si="3"/>
        <v/>
      </c>
      <c r="I106" s="44"/>
      <c r="K106" s="43"/>
      <c r="L106" s="43"/>
      <c r="M106" s="43"/>
      <c r="N106" s="43"/>
    </row>
    <row r="107" spans="2:14" x14ac:dyDescent="0.25">
      <c r="B107" s="53" t="s">
        <v>144</v>
      </c>
      <c r="C107" s="15" t="s">
        <v>158</v>
      </c>
      <c r="D107" s="15"/>
      <c r="E107" s="23" t="s">
        <v>44</v>
      </c>
      <c r="F107" s="23">
        <v>2</v>
      </c>
      <c r="G107" s="43"/>
      <c r="H107" s="26">
        <f t="shared" si="3"/>
        <v>0</v>
      </c>
      <c r="I107" s="44"/>
      <c r="K107" s="43"/>
      <c r="L107" s="43"/>
      <c r="M107" s="43"/>
      <c r="N107" s="43"/>
    </row>
    <row r="108" spans="2:14" x14ac:dyDescent="0.25">
      <c r="B108" s="53"/>
      <c r="C108" s="15"/>
      <c r="D108" s="15"/>
      <c r="E108" s="23"/>
      <c r="F108" s="23"/>
      <c r="G108" s="43"/>
      <c r="H108" s="26" t="str">
        <f t="shared" si="3"/>
        <v/>
      </c>
      <c r="I108" s="44"/>
      <c r="K108" s="43"/>
      <c r="L108" s="43"/>
      <c r="M108" s="43"/>
      <c r="N108" s="43"/>
    </row>
    <row r="109" spans="2:14" x14ac:dyDescent="0.25">
      <c r="B109" s="53" t="s">
        <v>145</v>
      </c>
      <c r="C109" s="15" t="s">
        <v>159</v>
      </c>
      <c r="D109" s="15"/>
      <c r="E109" s="23" t="s">
        <v>44</v>
      </c>
      <c r="F109" s="23">
        <v>1</v>
      </c>
      <c r="G109" s="43"/>
      <c r="H109" s="26">
        <f t="shared" si="3"/>
        <v>0</v>
      </c>
      <c r="I109" s="44"/>
      <c r="K109" s="43"/>
      <c r="L109" s="43"/>
      <c r="M109" s="43"/>
      <c r="N109" s="43"/>
    </row>
    <row r="110" spans="2:14" x14ac:dyDescent="0.25">
      <c r="B110" s="53"/>
      <c r="C110" s="15"/>
      <c r="D110" s="15"/>
      <c r="E110" s="23"/>
      <c r="F110" s="23"/>
      <c r="G110" s="43"/>
      <c r="H110" s="26" t="str">
        <f>IF(E110="","",F110*G110)</f>
        <v/>
      </c>
      <c r="I110" s="44"/>
      <c r="K110" s="43"/>
      <c r="L110" s="43"/>
      <c r="M110" s="43"/>
      <c r="N110" s="43"/>
    </row>
    <row r="111" spans="2:14" ht="14.25" customHeight="1" x14ac:dyDescent="0.25">
      <c r="B111" s="53" t="s">
        <v>146</v>
      </c>
      <c r="C111" s="15" t="s">
        <v>160</v>
      </c>
      <c r="D111" s="15"/>
      <c r="E111" s="23" t="s">
        <v>44</v>
      </c>
      <c r="F111" s="23">
        <v>1</v>
      </c>
      <c r="G111" s="43"/>
      <c r="H111" s="26">
        <f>IF(E111="","",F111*G111)</f>
        <v>0</v>
      </c>
      <c r="I111" s="44"/>
      <c r="K111" s="43"/>
      <c r="L111" s="43"/>
      <c r="M111" s="43"/>
      <c r="N111" s="43"/>
    </row>
    <row r="112" spans="2:14" x14ac:dyDescent="0.25">
      <c r="B112" s="53"/>
      <c r="C112" s="15"/>
      <c r="D112" s="15"/>
      <c r="E112" s="23"/>
      <c r="F112" s="23"/>
      <c r="G112" s="43"/>
      <c r="H112" s="26" t="str">
        <f>IF(E112="","",F112*G112)</f>
        <v/>
      </c>
      <c r="I112" s="44"/>
      <c r="K112" s="43"/>
      <c r="L112" s="43"/>
      <c r="M112" s="43"/>
      <c r="N112" s="43"/>
    </row>
    <row r="113" spans="2:14" s="31" customFormat="1" ht="20.100000000000001" customHeight="1" x14ac:dyDescent="0.25">
      <c r="B113" s="87" t="str">
        <f>$B$11</f>
        <v>C1.4</v>
      </c>
      <c r="C113" s="33" t="s">
        <v>12</v>
      </c>
      <c r="D113" s="33"/>
      <c r="E113" s="34"/>
      <c r="F113" s="35"/>
      <c r="G113" s="34"/>
      <c r="H113" s="36">
        <f>SUM(H61:H112)</f>
        <v>200000</v>
      </c>
      <c r="I113" s="37"/>
      <c r="J113" s="1"/>
      <c r="K113" s="34"/>
      <c r="L113" s="34"/>
      <c r="M113" s="34"/>
      <c r="N113" s="34"/>
    </row>
    <row r="114" spans="2:14" x14ac:dyDescent="0.25">
      <c r="B114" s="498" t="str">
        <f>Client1</f>
        <v>Province of KwaZulu-Natal</v>
      </c>
      <c r="C114" s="498"/>
      <c r="D114" s="498"/>
      <c r="E114" s="498"/>
      <c r="F114" s="496" t="str">
        <f>"Contract No. "&amp;ContractNo</f>
        <v>Contract No. ZNB02215/00000/00/HOD/INF/23/T</v>
      </c>
      <c r="G114" s="496"/>
      <c r="H114" s="496"/>
    </row>
    <row r="115" spans="2:14" x14ac:dyDescent="0.25">
      <c r="B115" s="498" t="str">
        <f>Client2</f>
        <v>Department of Transport</v>
      </c>
      <c r="C115" s="498"/>
      <c r="D115" s="498"/>
      <c r="E115" s="498"/>
      <c r="F115" s="496"/>
      <c r="G115" s="496"/>
      <c r="H115" s="496"/>
    </row>
    <row r="116" spans="2:14" x14ac:dyDescent="0.25">
      <c r="B116" s="499"/>
      <c r="C116" s="499"/>
      <c r="D116" s="499"/>
      <c r="E116" s="499"/>
      <c r="F116" s="497"/>
      <c r="G116" s="497"/>
      <c r="H116" s="497"/>
    </row>
    <row r="117" spans="2:14" x14ac:dyDescent="0.25">
      <c r="B117" s="507" t="s">
        <v>8</v>
      </c>
      <c r="C117" s="508"/>
      <c r="D117" s="508"/>
      <c r="E117" s="508"/>
      <c r="F117" s="508"/>
      <c r="G117" s="508"/>
      <c r="H117" s="509" t="str">
        <f>H5</f>
        <v>CHAPTER C1.4</v>
      </c>
      <c r="I117" s="6"/>
    </row>
    <row r="118" spans="2:14" x14ac:dyDescent="0.25">
      <c r="B118" s="500" t="str">
        <f>ContractDescription</f>
        <v>UPGRADING OF MAIN ROAD P8/3 FROM GRAVEL TO BLACKTOP BETWEEN KM 17.560 AND KM 24.221 IN THE PIETERMARITZBURG REGION</v>
      </c>
      <c r="C118" s="501"/>
      <c r="D118" s="501"/>
      <c r="E118" s="501"/>
      <c r="F118" s="501"/>
      <c r="G118" s="501"/>
      <c r="H118" s="496"/>
      <c r="I118" s="9"/>
    </row>
    <row r="119" spans="2:14" x14ac:dyDescent="0.25">
      <c r="B119" s="500"/>
      <c r="C119" s="501"/>
      <c r="D119" s="501"/>
      <c r="E119" s="501"/>
      <c r="F119" s="501"/>
      <c r="G119" s="501"/>
      <c r="H119" s="496"/>
      <c r="I119" s="9"/>
    </row>
    <row r="120" spans="2:14" x14ac:dyDescent="0.25">
      <c r="B120" s="502"/>
      <c r="C120" s="503"/>
      <c r="D120" s="503"/>
      <c r="E120" s="503"/>
      <c r="F120" s="503"/>
      <c r="G120" s="503"/>
      <c r="H120" s="497"/>
      <c r="I120" s="9"/>
    </row>
    <row r="121" spans="2:14" s="10" customFormat="1" ht="25.2" customHeight="1" x14ac:dyDescent="0.25">
      <c r="B121" s="81" t="s">
        <v>0</v>
      </c>
      <c r="C121" s="12" t="s">
        <v>1</v>
      </c>
      <c r="D121" s="12" t="s">
        <v>1602</v>
      </c>
      <c r="E121" s="12" t="s">
        <v>2</v>
      </c>
      <c r="F121" s="12" t="s">
        <v>3</v>
      </c>
      <c r="G121" s="12" t="s">
        <v>4</v>
      </c>
      <c r="H121" s="12" t="s">
        <v>5</v>
      </c>
      <c r="I121" s="13"/>
      <c r="J121" s="1"/>
      <c r="K121" s="12"/>
      <c r="L121" s="12"/>
      <c r="M121" s="12"/>
      <c r="N121" s="12"/>
    </row>
    <row r="122" spans="2:14" s="31" customFormat="1" ht="20.100000000000001" customHeight="1" x14ac:dyDescent="0.25">
      <c r="B122" s="87"/>
      <c r="C122" s="33" t="s">
        <v>37</v>
      </c>
      <c r="D122" s="33"/>
      <c r="E122" s="34"/>
      <c r="F122" s="35"/>
      <c r="G122" s="34"/>
      <c r="H122" s="36">
        <f>H113</f>
        <v>200000</v>
      </c>
      <c r="I122" s="37"/>
      <c r="J122" s="1"/>
      <c r="K122" s="34"/>
      <c r="L122" s="34"/>
      <c r="M122" s="34"/>
      <c r="N122" s="34"/>
    </row>
    <row r="123" spans="2:14" x14ac:dyDescent="0.25">
      <c r="B123" s="53"/>
      <c r="C123" s="15"/>
      <c r="D123" s="15"/>
      <c r="E123" s="23"/>
      <c r="F123" s="23"/>
      <c r="G123" s="41"/>
      <c r="H123" s="26" t="str">
        <f t="shared" ref="H123:H160" si="4">IF(E123="","",F123*G123)</f>
        <v/>
      </c>
      <c r="I123" s="44"/>
      <c r="K123" s="41"/>
      <c r="L123" s="41"/>
      <c r="M123" s="41"/>
      <c r="N123" s="41"/>
    </row>
    <row r="124" spans="2:14" x14ac:dyDescent="0.25">
      <c r="B124" s="53" t="s">
        <v>147</v>
      </c>
      <c r="C124" s="15" t="s">
        <v>161</v>
      </c>
      <c r="D124" s="15"/>
      <c r="E124" s="23" t="s">
        <v>44</v>
      </c>
      <c r="F124" s="23">
        <v>2</v>
      </c>
      <c r="G124" s="43"/>
      <c r="H124" s="26">
        <f t="shared" si="4"/>
        <v>0</v>
      </c>
      <c r="I124" s="44"/>
      <c r="K124" s="43"/>
      <c r="L124" s="43"/>
      <c r="M124" s="43"/>
      <c r="N124" s="43"/>
    </row>
    <row r="125" spans="2:14" x14ac:dyDescent="0.25">
      <c r="B125" s="53"/>
      <c r="C125" s="15"/>
      <c r="D125" s="15"/>
      <c r="E125" s="23"/>
      <c r="F125" s="23"/>
      <c r="G125" s="43"/>
      <c r="H125" s="26" t="str">
        <f t="shared" si="4"/>
        <v/>
      </c>
      <c r="I125" s="44"/>
      <c r="K125" s="43"/>
      <c r="L125" s="43"/>
      <c r="M125" s="43"/>
      <c r="N125" s="43"/>
    </row>
    <row r="126" spans="2:14" x14ac:dyDescent="0.25">
      <c r="B126" s="53" t="s">
        <v>148</v>
      </c>
      <c r="C126" s="15" t="s">
        <v>162</v>
      </c>
      <c r="D126" s="15"/>
      <c r="E126" s="23" t="s">
        <v>44</v>
      </c>
      <c r="F126" s="23">
        <v>1</v>
      </c>
      <c r="G126" s="43"/>
      <c r="H126" s="26">
        <f t="shared" si="4"/>
        <v>0</v>
      </c>
      <c r="I126" s="44"/>
      <c r="K126" s="43"/>
      <c r="L126" s="43"/>
      <c r="M126" s="43"/>
      <c r="N126" s="43"/>
    </row>
    <row r="127" spans="2:14" x14ac:dyDescent="0.25">
      <c r="B127" s="53"/>
      <c r="C127" s="15"/>
      <c r="D127" s="15"/>
      <c r="E127" s="23"/>
      <c r="F127" s="23"/>
      <c r="G127" s="43"/>
      <c r="H127" s="26" t="str">
        <f t="shared" si="4"/>
        <v/>
      </c>
      <c r="I127" s="44"/>
      <c r="K127" s="43"/>
      <c r="L127" s="43"/>
      <c r="M127" s="43"/>
      <c r="N127" s="43"/>
    </row>
    <row r="128" spans="2:14" ht="26.4" x14ac:dyDescent="0.25">
      <c r="B128" s="53" t="s">
        <v>149</v>
      </c>
      <c r="C128" s="15" t="s">
        <v>163</v>
      </c>
      <c r="D128" s="15"/>
      <c r="E128" s="23" t="s">
        <v>44</v>
      </c>
      <c r="F128" s="23">
        <v>2</v>
      </c>
      <c r="G128" s="43"/>
      <c r="H128" s="26">
        <f t="shared" si="4"/>
        <v>0</v>
      </c>
      <c r="I128" s="44"/>
      <c r="K128" s="43"/>
      <c r="L128" s="43"/>
      <c r="M128" s="43"/>
      <c r="N128" s="43"/>
    </row>
    <row r="129" spans="2:14" x14ac:dyDescent="0.25">
      <c r="B129" s="53"/>
      <c r="C129" s="15"/>
      <c r="D129" s="15"/>
      <c r="E129" s="23"/>
      <c r="F129" s="23"/>
      <c r="G129" s="43"/>
      <c r="H129" s="26" t="str">
        <f t="shared" si="4"/>
        <v/>
      </c>
      <c r="I129" s="44"/>
      <c r="K129" s="43"/>
      <c r="L129" s="43"/>
      <c r="M129" s="43"/>
      <c r="N129" s="43"/>
    </row>
    <row r="130" spans="2:14" x14ac:dyDescent="0.25">
      <c r="B130" s="53" t="s">
        <v>150</v>
      </c>
      <c r="C130" s="15" t="s">
        <v>164</v>
      </c>
      <c r="D130" s="15"/>
      <c r="E130" s="23" t="s">
        <v>44</v>
      </c>
      <c r="F130" s="23">
        <v>2</v>
      </c>
      <c r="G130" s="43"/>
      <c r="H130" s="26">
        <f t="shared" si="4"/>
        <v>0</v>
      </c>
      <c r="I130" s="44"/>
      <c r="K130" s="43"/>
      <c r="L130" s="43"/>
      <c r="M130" s="43"/>
      <c r="N130" s="43"/>
    </row>
    <row r="131" spans="2:14" x14ac:dyDescent="0.25">
      <c r="B131" s="53"/>
      <c r="C131" s="15"/>
      <c r="D131" s="15"/>
      <c r="E131" s="23"/>
      <c r="F131" s="23"/>
      <c r="G131" s="43"/>
      <c r="H131" s="26" t="str">
        <f t="shared" si="4"/>
        <v/>
      </c>
      <c r="I131" s="44"/>
      <c r="K131" s="43"/>
      <c r="L131" s="43"/>
      <c r="M131" s="43"/>
      <c r="N131" s="43"/>
    </row>
    <row r="132" spans="2:14" x14ac:dyDescent="0.25">
      <c r="B132" s="53" t="s">
        <v>151</v>
      </c>
      <c r="C132" s="15" t="s">
        <v>165</v>
      </c>
      <c r="D132" s="15"/>
      <c r="E132" s="23" t="s">
        <v>44</v>
      </c>
      <c r="F132" s="23">
        <v>2</v>
      </c>
      <c r="G132" s="43"/>
      <c r="H132" s="26">
        <f t="shared" si="4"/>
        <v>0</v>
      </c>
      <c r="I132" s="44"/>
      <c r="K132" s="43"/>
      <c r="L132" s="43"/>
      <c r="M132" s="43"/>
      <c r="N132" s="43"/>
    </row>
    <row r="133" spans="2:14" x14ac:dyDescent="0.25">
      <c r="B133" s="53"/>
      <c r="C133" s="15"/>
      <c r="D133" s="15"/>
      <c r="E133" s="23"/>
      <c r="F133" s="23"/>
      <c r="G133" s="43"/>
      <c r="H133" s="26" t="str">
        <f t="shared" si="4"/>
        <v/>
      </c>
      <c r="I133" s="44"/>
      <c r="K133" s="43"/>
      <c r="L133" s="43"/>
      <c r="M133" s="43"/>
      <c r="N133" s="43"/>
    </row>
    <row r="134" spans="2:14" x14ac:dyDescent="0.25">
      <c r="B134" s="53" t="s">
        <v>166</v>
      </c>
      <c r="C134" s="15" t="s">
        <v>167</v>
      </c>
      <c r="D134" s="15"/>
      <c r="E134" s="23"/>
      <c r="F134" s="23"/>
      <c r="G134" s="43"/>
      <c r="H134" s="26" t="str">
        <f t="shared" si="4"/>
        <v/>
      </c>
      <c r="I134" s="44"/>
      <c r="K134" s="43"/>
      <c r="L134" s="43"/>
      <c r="M134" s="43"/>
      <c r="N134" s="43"/>
    </row>
    <row r="135" spans="2:14" x14ac:dyDescent="0.25">
      <c r="B135" s="53"/>
      <c r="C135" s="15"/>
      <c r="D135" s="15"/>
      <c r="E135" s="23"/>
      <c r="F135" s="23"/>
      <c r="G135" s="43"/>
      <c r="H135" s="26" t="str">
        <f t="shared" si="4"/>
        <v/>
      </c>
      <c r="I135" s="44"/>
      <c r="K135" s="43"/>
      <c r="L135" s="43"/>
      <c r="M135" s="43"/>
      <c r="N135" s="43"/>
    </row>
    <row r="136" spans="2:14" ht="26.4" x14ac:dyDescent="0.25">
      <c r="B136" s="53" t="s">
        <v>168</v>
      </c>
      <c r="C136" s="15" t="s">
        <v>180</v>
      </c>
      <c r="D136" s="15"/>
      <c r="E136" s="23" t="s">
        <v>649</v>
      </c>
      <c r="F136" s="23">
        <v>25000</v>
      </c>
      <c r="G136" s="43"/>
      <c r="H136" s="26">
        <f t="shared" si="4"/>
        <v>0</v>
      </c>
      <c r="I136" s="44"/>
      <c r="K136" s="43"/>
      <c r="L136" s="43"/>
      <c r="M136" s="43"/>
      <c r="N136" s="43"/>
    </row>
    <row r="137" spans="2:14" x14ac:dyDescent="0.25">
      <c r="B137" s="53"/>
      <c r="C137" s="15"/>
      <c r="D137" s="15"/>
      <c r="E137" s="23"/>
      <c r="F137" s="23"/>
      <c r="G137" s="43"/>
      <c r="H137" s="26" t="str">
        <f t="shared" si="4"/>
        <v/>
      </c>
      <c r="I137" s="44"/>
      <c r="K137" s="43"/>
      <c r="L137" s="43"/>
      <c r="M137" s="43"/>
      <c r="N137" s="43"/>
    </row>
    <row r="138" spans="2:14" x14ac:dyDescent="0.25">
      <c r="B138" s="53" t="s">
        <v>169</v>
      </c>
      <c r="C138" s="15" t="s">
        <v>182</v>
      </c>
      <c r="D138" s="15"/>
      <c r="E138" s="23" t="s">
        <v>36</v>
      </c>
      <c r="F138" s="198">
        <f>H136</f>
        <v>0</v>
      </c>
      <c r="G138" s="399">
        <v>0.1</v>
      </c>
      <c r="H138" s="26">
        <f t="shared" si="4"/>
        <v>0</v>
      </c>
      <c r="I138" s="44"/>
      <c r="K138" s="399"/>
      <c r="L138" s="399"/>
      <c r="M138" s="399"/>
      <c r="N138" s="399"/>
    </row>
    <row r="139" spans="2:14" x14ac:dyDescent="0.25">
      <c r="B139" s="53"/>
      <c r="C139" s="15"/>
      <c r="D139" s="15"/>
      <c r="E139" s="23"/>
      <c r="F139" s="23"/>
      <c r="G139" s="43"/>
      <c r="H139" s="26" t="str">
        <f t="shared" si="4"/>
        <v/>
      </c>
      <c r="I139" s="44"/>
      <c r="K139" s="43"/>
      <c r="L139" s="43"/>
      <c r="M139" s="43"/>
      <c r="N139" s="43"/>
    </row>
    <row r="140" spans="2:14" ht="39.6" x14ac:dyDescent="0.25">
      <c r="B140" s="53" t="s">
        <v>170</v>
      </c>
      <c r="C140" s="15" t="s">
        <v>181</v>
      </c>
      <c r="D140" s="15"/>
      <c r="E140" s="23" t="s">
        <v>649</v>
      </c>
      <c r="F140" s="23">
        <v>25000</v>
      </c>
      <c r="G140" s="43"/>
      <c r="H140" s="26">
        <f t="shared" si="4"/>
        <v>0</v>
      </c>
      <c r="I140" s="44"/>
      <c r="K140" s="43"/>
      <c r="L140" s="43"/>
      <c r="M140" s="43"/>
      <c r="N140" s="43"/>
    </row>
    <row r="141" spans="2:14" x14ac:dyDescent="0.25">
      <c r="B141" s="53"/>
      <c r="C141" s="15"/>
      <c r="D141" s="15"/>
      <c r="E141" s="23"/>
      <c r="F141" s="23"/>
      <c r="G141" s="43"/>
      <c r="H141" s="26" t="str">
        <f t="shared" si="4"/>
        <v/>
      </c>
      <c r="I141" s="44"/>
      <c r="K141" s="43"/>
      <c r="L141" s="43"/>
      <c r="M141" s="43"/>
      <c r="N141" s="43"/>
    </row>
    <row r="142" spans="2:14" x14ac:dyDescent="0.25">
      <c r="B142" s="53" t="s">
        <v>171</v>
      </c>
      <c r="C142" s="15" t="s">
        <v>206</v>
      </c>
      <c r="D142" s="15"/>
      <c r="E142" s="23" t="s">
        <v>36</v>
      </c>
      <c r="F142" s="198">
        <f>H140</f>
        <v>0</v>
      </c>
      <c r="G142" s="399">
        <v>0.1</v>
      </c>
      <c r="H142" s="26">
        <f t="shared" si="4"/>
        <v>0</v>
      </c>
      <c r="I142" s="44"/>
      <c r="K142" s="399"/>
      <c r="L142" s="399"/>
      <c r="M142" s="399"/>
      <c r="N142" s="399"/>
    </row>
    <row r="143" spans="2:14" x14ac:dyDescent="0.25">
      <c r="B143" s="53"/>
      <c r="C143" s="15"/>
      <c r="D143" s="15"/>
      <c r="E143" s="23"/>
      <c r="F143" s="23"/>
      <c r="G143" s="43"/>
      <c r="H143" s="26" t="str">
        <f t="shared" si="4"/>
        <v/>
      </c>
      <c r="I143" s="44"/>
      <c r="K143" s="43"/>
      <c r="L143" s="43"/>
      <c r="M143" s="43"/>
      <c r="N143" s="43"/>
    </row>
    <row r="144" spans="2:14" ht="26.4" x14ac:dyDescent="0.25">
      <c r="B144" s="53" t="s">
        <v>172</v>
      </c>
      <c r="C144" s="15" t="s">
        <v>202</v>
      </c>
      <c r="D144" s="15"/>
      <c r="E144" s="23" t="s">
        <v>649</v>
      </c>
      <c r="F144" s="23">
        <v>25000</v>
      </c>
      <c r="G144" s="43"/>
      <c r="H144" s="26">
        <f t="shared" si="4"/>
        <v>0</v>
      </c>
      <c r="I144" s="44"/>
      <c r="K144" s="43"/>
      <c r="L144" s="43"/>
      <c r="M144" s="43"/>
      <c r="N144" s="43"/>
    </row>
    <row r="145" spans="2:14" x14ac:dyDescent="0.25">
      <c r="B145" s="53"/>
      <c r="C145" s="15"/>
      <c r="D145" s="15"/>
      <c r="E145" s="23"/>
      <c r="F145" s="23"/>
      <c r="G145" s="43"/>
      <c r="H145" s="26" t="str">
        <f t="shared" si="4"/>
        <v/>
      </c>
      <c r="I145" s="44"/>
      <c r="K145" s="43"/>
      <c r="L145" s="43"/>
      <c r="M145" s="43"/>
      <c r="N145" s="43"/>
    </row>
    <row r="146" spans="2:14" x14ac:dyDescent="0.25">
      <c r="B146" s="53" t="s">
        <v>173</v>
      </c>
      <c r="C146" s="15" t="s">
        <v>207</v>
      </c>
      <c r="D146" s="15"/>
      <c r="E146" s="23" t="s">
        <v>36</v>
      </c>
      <c r="F146" s="198">
        <f>H144</f>
        <v>0</v>
      </c>
      <c r="G146" s="399">
        <v>0.1</v>
      </c>
      <c r="H146" s="26">
        <f t="shared" si="4"/>
        <v>0</v>
      </c>
      <c r="I146" s="44"/>
      <c r="K146" s="399"/>
      <c r="L146" s="399"/>
      <c r="M146" s="399"/>
      <c r="N146" s="399"/>
    </row>
    <row r="147" spans="2:14" x14ac:dyDescent="0.25">
      <c r="B147" s="53"/>
      <c r="C147" s="15"/>
      <c r="D147" s="15"/>
      <c r="E147" s="23"/>
      <c r="F147" s="23"/>
      <c r="G147" s="43"/>
      <c r="H147" s="26" t="str">
        <f t="shared" si="4"/>
        <v/>
      </c>
      <c r="I147" s="44"/>
      <c r="K147" s="43"/>
      <c r="L147" s="43"/>
      <c r="M147" s="43"/>
      <c r="N147" s="43"/>
    </row>
    <row r="148" spans="2:14" ht="26.4" x14ac:dyDescent="0.25">
      <c r="B148" s="53" t="s">
        <v>174</v>
      </c>
      <c r="C148" s="15" t="s">
        <v>204</v>
      </c>
      <c r="D148" s="15"/>
      <c r="E148" s="23" t="s">
        <v>649</v>
      </c>
      <c r="F148" s="23">
        <v>30000</v>
      </c>
      <c r="G148" s="43"/>
      <c r="H148" s="26">
        <f t="shared" si="4"/>
        <v>0</v>
      </c>
      <c r="I148" s="44"/>
      <c r="K148" s="43"/>
      <c r="L148" s="43"/>
      <c r="M148" s="43"/>
      <c r="N148" s="43"/>
    </row>
    <row r="149" spans="2:14" x14ac:dyDescent="0.25">
      <c r="B149" s="53"/>
      <c r="C149" s="15"/>
      <c r="D149" s="15"/>
      <c r="E149" s="23"/>
      <c r="F149" s="23"/>
      <c r="G149" s="43"/>
      <c r="H149" s="26" t="str">
        <f t="shared" si="4"/>
        <v/>
      </c>
      <c r="I149" s="44"/>
      <c r="K149" s="43"/>
      <c r="L149" s="43"/>
      <c r="M149" s="43"/>
      <c r="N149" s="43"/>
    </row>
    <row r="150" spans="2:14" x14ac:dyDescent="0.25">
      <c r="B150" s="53" t="s">
        <v>175</v>
      </c>
      <c r="C150" s="15" t="s">
        <v>208</v>
      </c>
      <c r="D150" s="15"/>
      <c r="E150" s="23" t="s">
        <v>36</v>
      </c>
      <c r="F150" s="198">
        <f>H148</f>
        <v>0</v>
      </c>
      <c r="G150" s="399">
        <v>0.1</v>
      </c>
      <c r="H150" s="26">
        <f t="shared" si="4"/>
        <v>0</v>
      </c>
      <c r="I150" s="44"/>
      <c r="K150" s="399"/>
      <c r="L150" s="399"/>
      <c r="M150" s="399"/>
      <c r="N150" s="399"/>
    </row>
    <row r="151" spans="2:14" x14ac:dyDescent="0.25">
      <c r="B151" s="53"/>
      <c r="C151" s="15"/>
      <c r="D151" s="15"/>
      <c r="E151" s="23"/>
      <c r="F151" s="23"/>
      <c r="G151" s="43"/>
      <c r="H151" s="26" t="str">
        <f t="shared" si="4"/>
        <v/>
      </c>
      <c r="I151" s="44"/>
      <c r="K151" s="43"/>
      <c r="L151" s="43"/>
      <c r="M151" s="43"/>
      <c r="N151" s="43"/>
    </row>
    <row r="152" spans="2:14" ht="52.8" x14ac:dyDescent="0.25">
      <c r="B152" s="53" t="s">
        <v>176</v>
      </c>
      <c r="C152" s="15" t="s">
        <v>203</v>
      </c>
      <c r="D152" s="15"/>
      <c r="E152" s="23" t="s">
        <v>649</v>
      </c>
      <c r="F152" s="23">
        <v>30000</v>
      </c>
      <c r="G152" s="43"/>
      <c r="H152" s="26">
        <f>IF(E152="","",F152*G152)</f>
        <v>0</v>
      </c>
      <c r="I152" s="44"/>
      <c r="K152" s="43"/>
      <c r="L152" s="43"/>
      <c r="M152" s="43"/>
      <c r="N152" s="43"/>
    </row>
    <row r="153" spans="2:14" x14ac:dyDescent="0.25">
      <c r="B153" s="53"/>
      <c r="C153" s="15"/>
      <c r="D153" s="15"/>
      <c r="E153" s="23"/>
      <c r="F153" s="23"/>
      <c r="G153" s="43"/>
      <c r="H153" s="26" t="str">
        <f>IF(E153="","",F153*G153)</f>
        <v/>
      </c>
      <c r="I153" s="44"/>
      <c r="K153" s="43"/>
      <c r="L153" s="43"/>
      <c r="M153" s="43"/>
      <c r="N153" s="43"/>
    </row>
    <row r="154" spans="2:14" x14ac:dyDescent="0.25">
      <c r="B154" s="53" t="s">
        <v>177</v>
      </c>
      <c r="C154" s="15" t="s">
        <v>209</v>
      </c>
      <c r="D154" s="15"/>
      <c r="E154" s="23" t="s">
        <v>36</v>
      </c>
      <c r="F154" s="198">
        <f>H152</f>
        <v>0</v>
      </c>
      <c r="G154" s="399">
        <v>0.1</v>
      </c>
      <c r="H154" s="26">
        <f>IF(E154="","",F154*G154)</f>
        <v>0</v>
      </c>
      <c r="I154" s="44"/>
      <c r="K154" s="399"/>
      <c r="L154" s="399"/>
      <c r="M154" s="399"/>
      <c r="N154" s="399"/>
    </row>
    <row r="155" spans="2:14" x14ac:dyDescent="0.25">
      <c r="B155" s="53"/>
      <c r="C155" s="15"/>
      <c r="D155" s="15"/>
      <c r="E155" s="23"/>
      <c r="F155" s="23"/>
      <c r="G155" s="43"/>
      <c r="H155" s="26" t="str">
        <f t="shared" si="4"/>
        <v/>
      </c>
      <c r="I155" s="44"/>
      <c r="K155" s="43"/>
      <c r="L155" s="43"/>
      <c r="M155" s="43"/>
      <c r="N155" s="43"/>
    </row>
    <row r="156" spans="2:14" ht="66" x14ac:dyDescent="0.25">
      <c r="B156" s="53" t="s">
        <v>178</v>
      </c>
      <c r="C156" s="15" t="s">
        <v>205</v>
      </c>
      <c r="D156" s="15"/>
      <c r="E156" s="23" t="s">
        <v>649</v>
      </c>
      <c r="F156" s="23">
        <v>15000</v>
      </c>
      <c r="G156" s="43"/>
      <c r="H156" s="26">
        <f t="shared" si="4"/>
        <v>0</v>
      </c>
      <c r="I156" s="44"/>
      <c r="K156" s="43"/>
      <c r="L156" s="43"/>
      <c r="M156" s="43"/>
      <c r="N156" s="43"/>
    </row>
    <row r="157" spans="2:14" x14ac:dyDescent="0.25">
      <c r="B157" s="53"/>
      <c r="C157" s="15"/>
      <c r="D157" s="15"/>
      <c r="E157" s="23"/>
      <c r="F157" s="23"/>
      <c r="G157" s="43"/>
      <c r="H157" s="26" t="str">
        <f t="shared" si="4"/>
        <v/>
      </c>
      <c r="I157" s="44"/>
      <c r="K157" s="43"/>
      <c r="L157" s="43"/>
      <c r="M157" s="43"/>
      <c r="N157" s="43"/>
    </row>
    <row r="158" spans="2:14" x14ac:dyDescent="0.25">
      <c r="B158" s="53" t="s">
        <v>179</v>
      </c>
      <c r="C158" s="15" t="s">
        <v>210</v>
      </c>
      <c r="D158" s="15"/>
      <c r="E158" s="23" t="s">
        <v>36</v>
      </c>
      <c r="F158" s="198">
        <f>H156</f>
        <v>0</v>
      </c>
      <c r="G158" s="399">
        <v>0.1</v>
      </c>
      <c r="H158" s="26">
        <f t="shared" si="4"/>
        <v>0</v>
      </c>
      <c r="I158" s="44"/>
      <c r="K158" s="399"/>
      <c r="L158" s="399"/>
      <c r="M158" s="399"/>
      <c r="N158" s="399"/>
    </row>
    <row r="159" spans="2:14" x14ac:dyDescent="0.25">
      <c r="B159" s="53"/>
      <c r="C159" s="15"/>
      <c r="D159" s="15"/>
      <c r="E159" s="23"/>
      <c r="F159" s="23"/>
      <c r="G159" s="43"/>
      <c r="H159" s="26" t="str">
        <f t="shared" si="4"/>
        <v/>
      </c>
      <c r="I159" s="44"/>
      <c r="K159" s="43"/>
      <c r="L159" s="43"/>
      <c r="M159" s="43"/>
      <c r="N159" s="43"/>
    </row>
    <row r="160" spans="2:14" x14ac:dyDescent="0.25">
      <c r="B160" s="53"/>
      <c r="C160" s="15"/>
      <c r="D160" s="15"/>
      <c r="E160" s="23"/>
      <c r="F160" s="23"/>
      <c r="G160" s="43"/>
      <c r="H160" s="26" t="str">
        <f t="shared" si="4"/>
        <v/>
      </c>
      <c r="I160" s="44"/>
      <c r="K160" s="43"/>
      <c r="L160" s="43"/>
      <c r="M160" s="43"/>
      <c r="N160" s="43"/>
    </row>
    <row r="161" spans="2:14" s="31" customFormat="1" ht="20.100000000000001" customHeight="1" x14ac:dyDescent="0.25">
      <c r="B161" s="87" t="str">
        <f>$B$11</f>
        <v>C1.4</v>
      </c>
      <c r="C161" s="33" t="s">
        <v>12</v>
      </c>
      <c r="D161" s="33"/>
      <c r="E161" s="34"/>
      <c r="F161" s="35"/>
      <c r="G161" s="34"/>
      <c r="H161" s="36">
        <f>SUM(H122:H160)</f>
        <v>200000</v>
      </c>
      <c r="I161" s="37"/>
      <c r="J161" s="1"/>
      <c r="K161" s="34"/>
      <c r="L161" s="34"/>
      <c r="M161" s="34"/>
      <c r="N161" s="34"/>
    </row>
    <row r="162" spans="2:14" x14ac:dyDescent="0.25">
      <c r="B162" s="498" t="str">
        <f>Client1</f>
        <v>Province of KwaZulu-Natal</v>
      </c>
      <c r="C162" s="498"/>
      <c r="D162" s="498"/>
      <c r="E162" s="498"/>
      <c r="F162" s="496" t="str">
        <f>"Contract No. "&amp;ContractNo</f>
        <v>Contract No. ZNB02215/00000/00/HOD/INF/23/T</v>
      </c>
      <c r="G162" s="496"/>
      <c r="H162" s="496"/>
    </row>
    <row r="163" spans="2:14" x14ac:dyDescent="0.25">
      <c r="B163" s="498" t="str">
        <f>Client2</f>
        <v>Department of Transport</v>
      </c>
      <c r="C163" s="498"/>
      <c r="D163" s="498"/>
      <c r="E163" s="498"/>
      <c r="F163" s="496"/>
      <c r="G163" s="496"/>
      <c r="H163" s="496"/>
    </row>
    <row r="164" spans="2:14" x14ac:dyDescent="0.25">
      <c r="B164" s="499"/>
      <c r="C164" s="499"/>
      <c r="D164" s="499"/>
      <c r="E164" s="499"/>
      <c r="F164" s="497"/>
      <c r="G164" s="497"/>
      <c r="H164" s="497"/>
    </row>
    <row r="165" spans="2:14" x14ac:dyDescent="0.25">
      <c r="B165" s="507" t="s">
        <v>8</v>
      </c>
      <c r="C165" s="508"/>
      <c r="D165" s="508"/>
      <c r="E165" s="508"/>
      <c r="F165" s="508"/>
      <c r="G165" s="508"/>
      <c r="H165" s="511" t="str">
        <f>H5</f>
        <v>CHAPTER C1.4</v>
      </c>
      <c r="I165" s="6"/>
    </row>
    <row r="166" spans="2:14" x14ac:dyDescent="0.25">
      <c r="B166" s="500" t="str">
        <f>ContractDescription</f>
        <v>UPGRADING OF MAIN ROAD P8/3 FROM GRAVEL TO BLACKTOP BETWEEN KM 17.560 AND KM 24.221 IN THE PIETERMARITZBURG REGION</v>
      </c>
      <c r="C166" s="501"/>
      <c r="D166" s="501"/>
      <c r="E166" s="501"/>
      <c r="F166" s="501"/>
      <c r="G166" s="501"/>
      <c r="H166" s="496"/>
      <c r="I166" s="9"/>
    </row>
    <row r="167" spans="2:14" x14ac:dyDescent="0.25">
      <c r="B167" s="500"/>
      <c r="C167" s="501"/>
      <c r="D167" s="501"/>
      <c r="E167" s="501"/>
      <c r="F167" s="501"/>
      <c r="G167" s="501"/>
      <c r="H167" s="496"/>
      <c r="I167" s="9"/>
    </row>
    <row r="168" spans="2:14" x14ac:dyDescent="0.25">
      <c r="B168" s="502"/>
      <c r="C168" s="503"/>
      <c r="D168" s="503"/>
      <c r="E168" s="503"/>
      <c r="F168" s="503"/>
      <c r="G168" s="503"/>
      <c r="H168" s="497"/>
      <c r="I168" s="9"/>
    </row>
    <row r="169" spans="2:14" s="10" customFormat="1" ht="25.2" customHeight="1" x14ac:dyDescent="0.25">
      <c r="B169" s="81" t="s">
        <v>0</v>
      </c>
      <c r="C169" s="12" t="s">
        <v>1</v>
      </c>
      <c r="D169" s="12" t="s">
        <v>1602</v>
      </c>
      <c r="E169" s="12" t="s">
        <v>2</v>
      </c>
      <c r="F169" s="12" t="s">
        <v>3</v>
      </c>
      <c r="G169" s="12" t="s">
        <v>4</v>
      </c>
      <c r="H169" s="12" t="s">
        <v>5</v>
      </c>
      <c r="I169" s="13"/>
      <c r="J169" s="1"/>
      <c r="K169" s="12"/>
      <c r="L169" s="12"/>
      <c r="M169" s="12"/>
      <c r="N169" s="12"/>
    </row>
    <row r="170" spans="2:14" s="31" customFormat="1" ht="20.100000000000001" customHeight="1" x14ac:dyDescent="0.25">
      <c r="B170" s="87"/>
      <c r="C170" s="33" t="s">
        <v>37</v>
      </c>
      <c r="D170" s="33"/>
      <c r="E170" s="34"/>
      <c r="F170" s="35"/>
      <c r="G170" s="34"/>
      <c r="H170" s="36">
        <f>H161</f>
        <v>200000</v>
      </c>
      <c r="I170" s="37"/>
      <c r="J170" s="1"/>
      <c r="K170" s="34"/>
      <c r="L170" s="34"/>
      <c r="M170" s="34"/>
      <c r="N170" s="34"/>
    </row>
    <row r="171" spans="2:14" x14ac:dyDescent="0.25">
      <c r="B171" s="80"/>
      <c r="C171" s="104"/>
      <c r="D171" s="104"/>
      <c r="E171" s="105"/>
      <c r="F171" s="105"/>
      <c r="G171" s="43"/>
      <c r="H171" s="26" t="str">
        <f t="shared" ref="H171:H196" si="5">IF(E171="","",F171*G171)</f>
        <v/>
      </c>
      <c r="I171" s="44"/>
      <c r="K171" s="43"/>
      <c r="L171" s="43"/>
      <c r="M171" s="43"/>
      <c r="N171" s="43"/>
    </row>
    <row r="172" spans="2:14" ht="26.4" x14ac:dyDescent="0.25">
      <c r="B172" s="53" t="s">
        <v>183</v>
      </c>
      <c r="C172" s="15" t="s">
        <v>184</v>
      </c>
      <c r="D172" s="15"/>
      <c r="E172" s="23"/>
      <c r="F172" s="23"/>
      <c r="G172" s="43"/>
      <c r="H172" s="26" t="str">
        <f t="shared" si="5"/>
        <v/>
      </c>
      <c r="I172" s="44"/>
      <c r="K172" s="43"/>
      <c r="L172" s="43"/>
      <c r="M172" s="43"/>
      <c r="N172" s="43"/>
    </row>
    <row r="173" spans="2:14" x14ac:dyDescent="0.25">
      <c r="B173" s="53"/>
      <c r="C173" s="15"/>
      <c r="D173" s="15"/>
      <c r="E173" s="23"/>
      <c r="F173" s="23"/>
      <c r="G173" s="43"/>
      <c r="H173" s="26" t="str">
        <f t="shared" si="5"/>
        <v/>
      </c>
      <c r="I173" s="44"/>
      <c r="K173" s="43"/>
      <c r="L173" s="43"/>
      <c r="M173" s="43"/>
      <c r="N173" s="43"/>
    </row>
    <row r="174" spans="2:14" x14ac:dyDescent="0.25">
      <c r="B174" s="53" t="s">
        <v>185</v>
      </c>
      <c r="C174" s="15" t="s">
        <v>186</v>
      </c>
      <c r="D174" s="15"/>
      <c r="E174" s="23" t="s">
        <v>11</v>
      </c>
      <c r="F174" s="23">
        <v>1</v>
      </c>
      <c r="G174" s="43"/>
      <c r="H174" s="26">
        <f t="shared" si="5"/>
        <v>0</v>
      </c>
      <c r="I174" s="44"/>
      <c r="K174" s="43"/>
      <c r="L174" s="43"/>
      <c r="M174" s="43"/>
      <c r="N174" s="43"/>
    </row>
    <row r="175" spans="2:14" x14ac:dyDescent="0.25">
      <c r="B175" s="53"/>
      <c r="C175" s="15"/>
      <c r="D175" s="15"/>
      <c r="E175" s="23"/>
      <c r="F175" s="23"/>
      <c r="G175" s="43"/>
      <c r="H175" s="26" t="str">
        <f t="shared" si="5"/>
        <v/>
      </c>
      <c r="I175" s="44"/>
      <c r="K175" s="43"/>
      <c r="L175" s="43"/>
      <c r="M175" s="43"/>
      <c r="N175" s="43"/>
    </row>
    <row r="176" spans="2:14" x14ac:dyDescent="0.25">
      <c r="B176" s="53" t="s">
        <v>187</v>
      </c>
      <c r="C176" s="15" t="s">
        <v>188</v>
      </c>
      <c r="D176" s="15"/>
      <c r="E176" s="23" t="s">
        <v>21</v>
      </c>
      <c r="F176" s="23">
        <f>_Duration</f>
        <v>18</v>
      </c>
      <c r="G176" s="43"/>
      <c r="H176" s="26">
        <f t="shared" si="5"/>
        <v>0</v>
      </c>
      <c r="I176" s="44"/>
      <c r="K176" s="43"/>
      <c r="L176" s="43"/>
      <c r="M176" s="43"/>
      <c r="N176" s="43"/>
    </row>
    <row r="177" spans="2:14" x14ac:dyDescent="0.25">
      <c r="B177" s="53"/>
      <c r="C177" s="15"/>
      <c r="D177" s="15"/>
      <c r="E177" s="23"/>
      <c r="F177" s="23"/>
      <c r="G177" s="43"/>
      <c r="H177" s="26" t="str">
        <f t="shared" si="5"/>
        <v/>
      </c>
      <c r="I177" s="44"/>
      <c r="K177" s="43"/>
      <c r="L177" s="43"/>
      <c r="M177" s="43"/>
      <c r="N177" s="43"/>
    </row>
    <row r="178" spans="2:14" x14ac:dyDescent="0.25">
      <c r="B178" s="53" t="s">
        <v>190</v>
      </c>
      <c r="C178" s="15" t="s">
        <v>189</v>
      </c>
      <c r="D178" s="15"/>
      <c r="E178" s="23"/>
      <c r="F178" s="23"/>
      <c r="G178" s="43"/>
      <c r="H178" s="26" t="str">
        <f t="shared" si="5"/>
        <v/>
      </c>
      <c r="I178" s="44"/>
      <c r="K178" s="43"/>
      <c r="L178" s="43"/>
      <c r="M178" s="43"/>
      <c r="N178" s="43"/>
    </row>
    <row r="179" spans="2:14" x14ac:dyDescent="0.25">
      <c r="B179" s="53"/>
      <c r="C179" s="15"/>
      <c r="D179" s="15"/>
      <c r="E179" s="23"/>
      <c r="F179" s="23"/>
      <c r="G179" s="43"/>
      <c r="H179" s="26" t="str">
        <f t="shared" si="5"/>
        <v/>
      </c>
      <c r="I179" s="44"/>
      <c r="K179" s="43"/>
      <c r="L179" s="43"/>
      <c r="M179" s="43"/>
      <c r="N179" s="43"/>
    </row>
    <row r="180" spans="2:14" x14ac:dyDescent="0.25">
      <c r="B180" s="53" t="s">
        <v>191</v>
      </c>
      <c r="C180" s="15" t="s">
        <v>192</v>
      </c>
      <c r="D180" s="15"/>
      <c r="E180" s="23" t="s">
        <v>21</v>
      </c>
      <c r="F180" s="23">
        <f>_Duration</f>
        <v>18</v>
      </c>
      <c r="G180" s="43"/>
      <c r="H180" s="26">
        <f t="shared" si="5"/>
        <v>0</v>
      </c>
      <c r="I180" s="44"/>
      <c r="K180" s="43"/>
      <c r="L180" s="43"/>
      <c r="M180" s="43"/>
      <c r="N180" s="43"/>
    </row>
    <row r="181" spans="2:14" x14ac:dyDescent="0.25">
      <c r="B181" s="53"/>
      <c r="C181" s="15"/>
      <c r="D181" s="15"/>
      <c r="E181" s="23"/>
      <c r="F181" s="23"/>
      <c r="G181" s="43"/>
      <c r="H181" s="26" t="str">
        <f t="shared" si="5"/>
        <v/>
      </c>
      <c r="I181" s="44"/>
      <c r="K181" s="43"/>
      <c r="L181" s="43"/>
      <c r="M181" s="43"/>
      <c r="N181" s="43"/>
    </row>
    <row r="182" spans="2:14" x14ac:dyDescent="0.25">
      <c r="B182" s="53" t="s">
        <v>193</v>
      </c>
      <c r="C182" s="15" t="s">
        <v>194</v>
      </c>
      <c r="D182" s="15"/>
      <c r="E182" s="23"/>
      <c r="F182" s="23"/>
      <c r="G182" s="43"/>
      <c r="H182" s="26" t="str">
        <f t="shared" si="5"/>
        <v/>
      </c>
      <c r="I182" s="44"/>
      <c r="K182" s="43"/>
      <c r="L182" s="43"/>
      <c r="M182" s="43"/>
      <c r="N182" s="43"/>
    </row>
    <row r="183" spans="2:14" x14ac:dyDescent="0.25">
      <c r="B183" s="53"/>
      <c r="C183" s="15"/>
      <c r="D183" s="15"/>
      <c r="E183" s="23"/>
      <c r="F183" s="23"/>
      <c r="G183" s="43"/>
      <c r="H183" s="26" t="str">
        <f t="shared" si="5"/>
        <v/>
      </c>
      <c r="I183" s="44"/>
      <c r="K183" s="43"/>
      <c r="L183" s="43"/>
      <c r="M183" s="43"/>
      <c r="N183" s="43"/>
    </row>
    <row r="184" spans="2:14" x14ac:dyDescent="0.25">
      <c r="B184" s="53" t="s">
        <v>195</v>
      </c>
      <c r="C184" s="15" t="s">
        <v>196</v>
      </c>
      <c r="D184" s="15"/>
      <c r="E184" s="23" t="s">
        <v>33</v>
      </c>
      <c r="F184" s="23">
        <v>5000</v>
      </c>
      <c r="G184" s="43"/>
      <c r="H184" s="26">
        <f t="shared" si="5"/>
        <v>0</v>
      </c>
      <c r="I184" s="44"/>
      <c r="K184" s="43"/>
      <c r="L184" s="43"/>
      <c r="M184" s="43"/>
      <c r="N184" s="43"/>
    </row>
    <row r="185" spans="2:14" x14ac:dyDescent="0.25">
      <c r="B185" s="53"/>
      <c r="C185" s="15"/>
      <c r="D185" s="15"/>
      <c r="E185" s="23"/>
      <c r="F185" s="23"/>
      <c r="G185" s="43" t="s">
        <v>1556</v>
      </c>
      <c r="H185" s="26" t="str">
        <f t="shared" si="5"/>
        <v/>
      </c>
      <c r="I185" s="44"/>
      <c r="K185" s="43"/>
      <c r="L185" s="43"/>
      <c r="M185" s="43"/>
      <c r="N185" s="43"/>
    </row>
    <row r="186" spans="2:14" x14ac:dyDescent="0.25">
      <c r="B186" s="53" t="s">
        <v>197</v>
      </c>
      <c r="C186" s="15" t="s">
        <v>198</v>
      </c>
      <c r="D186" s="15"/>
      <c r="E186" s="23"/>
      <c r="F186" s="23"/>
      <c r="G186" s="43" t="s">
        <v>1556</v>
      </c>
      <c r="H186" s="26" t="str">
        <f t="shared" si="5"/>
        <v/>
      </c>
      <c r="I186" s="44"/>
      <c r="K186" s="43"/>
      <c r="L186" s="43"/>
      <c r="M186" s="43"/>
      <c r="N186" s="43"/>
    </row>
    <row r="187" spans="2:14" x14ac:dyDescent="0.25">
      <c r="B187" s="53"/>
      <c r="C187" s="15"/>
      <c r="D187" s="15"/>
      <c r="E187" s="23"/>
      <c r="F187" s="23"/>
      <c r="G187" s="43" t="s">
        <v>1556</v>
      </c>
      <c r="H187" s="26" t="str">
        <f t="shared" si="5"/>
        <v/>
      </c>
      <c r="I187" s="44"/>
      <c r="K187" s="43"/>
      <c r="L187" s="43"/>
      <c r="M187" s="43"/>
      <c r="N187" s="43"/>
    </row>
    <row r="188" spans="2:14" ht="39.6" x14ac:dyDescent="0.25">
      <c r="B188" s="53" t="s">
        <v>199</v>
      </c>
      <c r="C188" s="15" t="s">
        <v>211</v>
      </c>
      <c r="D188" s="15"/>
      <c r="E188" s="23" t="s">
        <v>11</v>
      </c>
      <c r="F188" s="23">
        <v>1</v>
      </c>
      <c r="G188" s="43"/>
      <c r="H188" s="26">
        <f t="shared" si="5"/>
        <v>0</v>
      </c>
      <c r="I188" s="44"/>
      <c r="K188" s="43"/>
      <c r="L188" s="43"/>
      <c r="M188" s="43"/>
      <c r="N188" s="43"/>
    </row>
    <row r="189" spans="2:14" x14ac:dyDescent="0.25">
      <c r="B189" s="53"/>
      <c r="C189" s="15"/>
      <c r="D189" s="15"/>
      <c r="E189" s="23"/>
      <c r="F189" s="23"/>
      <c r="G189" s="43" t="s">
        <v>1556</v>
      </c>
      <c r="H189" s="26" t="str">
        <f t="shared" si="5"/>
        <v/>
      </c>
      <c r="I189" s="44"/>
      <c r="K189" s="43"/>
      <c r="L189" s="43"/>
      <c r="M189" s="43"/>
      <c r="N189" s="43"/>
    </row>
    <row r="190" spans="2:14" ht="39.6" x14ac:dyDescent="0.25">
      <c r="B190" s="53" t="s">
        <v>200</v>
      </c>
      <c r="C190" s="15" t="s">
        <v>212</v>
      </c>
      <c r="D190" s="15"/>
      <c r="E190" s="23" t="s">
        <v>21</v>
      </c>
      <c r="F190" s="23">
        <f>_Duration</f>
        <v>18</v>
      </c>
      <c r="G190" s="43"/>
      <c r="H190" s="26">
        <f t="shared" si="5"/>
        <v>0</v>
      </c>
      <c r="I190" s="44"/>
      <c r="K190" s="43"/>
      <c r="L190" s="43"/>
      <c r="M190" s="43"/>
      <c r="N190" s="43"/>
    </row>
    <row r="191" spans="2:14" x14ac:dyDescent="0.25">
      <c r="B191" s="53"/>
      <c r="C191" s="15"/>
      <c r="D191" s="15"/>
      <c r="E191" s="23"/>
      <c r="F191" s="23"/>
      <c r="G191" s="43"/>
      <c r="H191" s="26" t="str">
        <f t="shared" si="5"/>
        <v/>
      </c>
      <c r="I191" s="44"/>
      <c r="K191" s="43"/>
      <c r="L191" s="43"/>
      <c r="M191" s="43"/>
      <c r="N191" s="43"/>
    </row>
    <row r="192" spans="2:14" x14ac:dyDescent="0.25">
      <c r="B192" s="53"/>
      <c r="C192" s="15"/>
      <c r="D192" s="15"/>
      <c r="E192" s="23"/>
      <c r="F192" s="23"/>
      <c r="G192" s="43"/>
      <c r="H192" s="26" t="str">
        <f t="shared" si="5"/>
        <v/>
      </c>
      <c r="I192" s="44"/>
      <c r="K192" s="43"/>
      <c r="L192" s="43"/>
      <c r="M192" s="43"/>
      <c r="N192" s="43"/>
    </row>
    <row r="193" spans="2:14" x14ac:dyDescent="0.25">
      <c r="B193" s="53"/>
      <c r="C193" s="15"/>
      <c r="D193" s="15"/>
      <c r="E193" s="23"/>
      <c r="F193" s="23"/>
      <c r="G193" s="41"/>
      <c r="H193" s="26" t="str">
        <f t="shared" si="5"/>
        <v/>
      </c>
      <c r="I193" s="44"/>
      <c r="K193" s="41"/>
      <c r="L193" s="41"/>
      <c r="M193" s="41"/>
      <c r="N193" s="41"/>
    </row>
    <row r="194" spans="2:14" x14ac:dyDescent="0.25">
      <c r="B194" s="53"/>
      <c r="C194" s="15"/>
      <c r="D194" s="15"/>
      <c r="E194" s="23"/>
      <c r="F194" s="23"/>
      <c r="G194" s="41"/>
      <c r="H194" s="26" t="str">
        <f t="shared" si="5"/>
        <v/>
      </c>
      <c r="I194" s="44"/>
      <c r="K194" s="41"/>
      <c r="L194" s="41"/>
      <c r="M194" s="41"/>
      <c r="N194" s="41"/>
    </row>
    <row r="195" spans="2:14" x14ac:dyDescent="0.25">
      <c r="B195" s="53"/>
      <c r="C195" s="15"/>
      <c r="D195" s="15"/>
      <c r="E195" s="23"/>
      <c r="F195" s="23"/>
      <c r="G195" s="41"/>
      <c r="H195" s="26" t="str">
        <f t="shared" si="5"/>
        <v/>
      </c>
      <c r="I195" s="44"/>
      <c r="K195" s="41"/>
      <c r="L195" s="41"/>
      <c r="M195" s="41"/>
      <c r="N195" s="41"/>
    </row>
    <row r="196" spans="2:14" ht="12" customHeight="1" x14ac:dyDescent="0.25">
      <c r="B196" s="53"/>
      <c r="C196" s="15"/>
      <c r="D196" s="15"/>
      <c r="E196" s="23"/>
      <c r="F196" s="23"/>
      <c r="G196" s="41"/>
      <c r="H196" s="26" t="str">
        <f t="shared" si="5"/>
        <v/>
      </c>
      <c r="I196" s="44"/>
      <c r="K196" s="41"/>
      <c r="L196" s="41"/>
      <c r="M196" s="41"/>
      <c r="N196" s="41"/>
    </row>
    <row r="197" spans="2:14" x14ac:dyDescent="0.25">
      <c r="B197" s="53"/>
      <c r="C197" s="15"/>
      <c r="D197" s="15"/>
      <c r="E197" s="23"/>
      <c r="F197" s="23"/>
      <c r="G197" s="41"/>
      <c r="H197" s="26"/>
      <c r="I197" s="44"/>
      <c r="K197" s="41"/>
      <c r="L197" s="41"/>
      <c r="M197" s="41"/>
      <c r="N197" s="41"/>
    </row>
    <row r="198" spans="2:14" x14ac:dyDescent="0.25">
      <c r="B198" s="53"/>
      <c r="C198" s="15"/>
      <c r="D198" s="15"/>
      <c r="E198" s="23"/>
      <c r="F198" s="23"/>
      <c r="G198" s="41"/>
      <c r="H198" s="26" t="str">
        <f t="shared" ref="H198:H213" si="6">IF(E198="","",F198*G198)</f>
        <v/>
      </c>
      <c r="I198" s="44"/>
      <c r="K198" s="41"/>
      <c r="L198" s="41"/>
      <c r="M198" s="41"/>
      <c r="N198" s="41"/>
    </row>
    <row r="199" spans="2:14" x14ac:dyDescent="0.25">
      <c r="B199" s="53"/>
      <c r="C199" s="15"/>
      <c r="D199" s="15"/>
      <c r="E199" s="23"/>
      <c r="F199" s="23"/>
      <c r="G199" s="41"/>
      <c r="H199" s="26" t="str">
        <f t="shared" si="6"/>
        <v/>
      </c>
      <c r="I199" s="44"/>
      <c r="K199" s="41"/>
      <c r="L199" s="41"/>
      <c r="M199" s="41"/>
      <c r="N199" s="41"/>
    </row>
    <row r="200" spans="2:14" x14ac:dyDescent="0.25">
      <c r="B200" s="53"/>
      <c r="C200" s="15"/>
      <c r="D200" s="15"/>
      <c r="E200" s="23"/>
      <c r="F200" s="23"/>
      <c r="G200" s="41"/>
      <c r="H200" s="26" t="str">
        <f t="shared" si="6"/>
        <v/>
      </c>
      <c r="I200" s="44"/>
      <c r="K200" s="41"/>
      <c r="L200" s="41"/>
      <c r="M200" s="41"/>
      <c r="N200" s="41"/>
    </row>
    <row r="201" spans="2:14" x14ac:dyDescent="0.25">
      <c r="B201" s="53"/>
      <c r="C201" s="15"/>
      <c r="D201" s="15"/>
      <c r="E201" s="23"/>
      <c r="F201" s="23"/>
      <c r="G201" s="41"/>
      <c r="H201" s="26" t="str">
        <f t="shared" si="6"/>
        <v/>
      </c>
      <c r="I201" s="44"/>
      <c r="K201" s="41"/>
      <c r="L201" s="41"/>
      <c r="M201" s="41"/>
      <c r="N201" s="41"/>
    </row>
    <row r="202" spans="2:14" x14ac:dyDescent="0.25">
      <c r="B202" s="53"/>
      <c r="C202" s="15"/>
      <c r="D202" s="15"/>
      <c r="E202" s="23"/>
      <c r="F202" s="23"/>
      <c r="G202" s="41"/>
      <c r="H202" s="26" t="str">
        <f t="shared" si="6"/>
        <v/>
      </c>
      <c r="I202" s="44"/>
      <c r="K202" s="41"/>
      <c r="L202" s="41"/>
      <c r="M202" s="41"/>
      <c r="N202" s="41"/>
    </row>
    <row r="203" spans="2:14" x14ac:dyDescent="0.25">
      <c r="B203" s="53"/>
      <c r="C203" s="15"/>
      <c r="D203" s="15"/>
      <c r="E203" s="23"/>
      <c r="F203" s="23"/>
      <c r="G203" s="41"/>
      <c r="H203" s="26" t="str">
        <f t="shared" si="6"/>
        <v/>
      </c>
      <c r="I203" s="44"/>
      <c r="K203" s="41"/>
      <c r="L203" s="41"/>
      <c r="M203" s="41"/>
      <c r="N203" s="41"/>
    </row>
    <row r="204" spans="2:14" x14ac:dyDescent="0.25">
      <c r="B204" s="53"/>
      <c r="C204" s="15"/>
      <c r="D204" s="15"/>
      <c r="E204" s="23"/>
      <c r="F204" s="23"/>
      <c r="G204" s="41"/>
      <c r="H204" s="26" t="str">
        <f t="shared" si="6"/>
        <v/>
      </c>
      <c r="I204" s="44"/>
      <c r="K204" s="41"/>
      <c r="L204" s="41"/>
      <c r="M204" s="41"/>
      <c r="N204" s="41"/>
    </row>
    <row r="205" spans="2:14" x14ac:dyDescent="0.25">
      <c r="B205" s="53"/>
      <c r="C205" s="15"/>
      <c r="D205" s="15"/>
      <c r="E205" s="23"/>
      <c r="F205" s="23"/>
      <c r="G205" s="41"/>
      <c r="H205" s="26" t="str">
        <f t="shared" si="6"/>
        <v/>
      </c>
      <c r="I205" s="44"/>
      <c r="K205" s="41"/>
      <c r="L205" s="41"/>
      <c r="M205" s="41"/>
      <c r="N205" s="41"/>
    </row>
    <row r="206" spans="2:14" x14ac:dyDescent="0.25">
      <c r="B206" s="53"/>
      <c r="C206" s="15"/>
      <c r="D206" s="15"/>
      <c r="E206" s="23"/>
      <c r="F206" s="23"/>
      <c r="G206" s="41"/>
      <c r="H206" s="26" t="str">
        <f t="shared" si="6"/>
        <v/>
      </c>
      <c r="I206" s="44"/>
      <c r="K206" s="41"/>
      <c r="L206" s="41"/>
      <c r="M206" s="41"/>
      <c r="N206" s="41"/>
    </row>
    <row r="207" spans="2:14" x14ac:dyDescent="0.25">
      <c r="B207" s="53"/>
      <c r="C207" s="15"/>
      <c r="D207" s="15"/>
      <c r="E207" s="23"/>
      <c r="F207" s="23"/>
      <c r="G207" s="41"/>
      <c r="H207" s="26" t="str">
        <f t="shared" si="6"/>
        <v/>
      </c>
      <c r="I207" s="44"/>
      <c r="K207" s="41"/>
      <c r="L207" s="41"/>
      <c r="M207" s="41"/>
      <c r="N207" s="41"/>
    </row>
    <row r="208" spans="2:14" x14ac:dyDescent="0.25">
      <c r="B208" s="53"/>
      <c r="C208" s="15"/>
      <c r="D208" s="15"/>
      <c r="E208" s="23"/>
      <c r="F208" s="23"/>
      <c r="G208" s="41"/>
      <c r="H208" s="26" t="str">
        <f t="shared" si="6"/>
        <v/>
      </c>
      <c r="I208" s="44"/>
      <c r="K208" s="41"/>
      <c r="L208" s="41"/>
      <c r="M208" s="41"/>
      <c r="N208" s="41"/>
    </row>
    <row r="209" spans="2:14" x14ac:dyDescent="0.25">
      <c r="B209" s="53"/>
      <c r="C209" s="15"/>
      <c r="D209" s="15"/>
      <c r="E209" s="23"/>
      <c r="F209" s="23"/>
      <c r="G209" s="41"/>
      <c r="H209" s="26" t="str">
        <f t="shared" si="6"/>
        <v/>
      </c>
      <c r="I209" s="44"/>
      <c r="K209" s="41"/>
      <c r="L209" s="41"/>
      <c r="M209" s="41"/>
      <c r="N209" s="41"/>
    </row>
    <row r="210" spans="2:14" x14ac:dyDescent="0.25">
      <c r="B210" s="53"/>
      <c r="C210" s="15"/>
      <c r="D210" s="15"/>
      <c r="E210" s="23"/>
      <c r="F210" s="23"/>
      <c r="G210" s="41"/>
      <c r="H210" s="26" t="str">
        <f t="shared" si="6"/>
        <v/>
      </c>
      <c r="I210" s="44"/>
      <c r="K210" s="41"/>
      <c r="L210" s="41"/>
      <c r="M210" s="41"/>
      <c r="N210" s="41"/>
    </row>
    <row r="211" spans="2:14" x14ac:dyDescent="0.25">
      <c r="B211" s="53"/>
      <c r="C211" s="15"/>
      <c r="D211" s="15"/>
      <c r="E211" s="23"/>
      <c r="F211" s="23"/>
      <c r="G211" s="41"/>
      <c r="H211" s="26" t="str">
        <f t="shared" si="6"/>
        <v/>
      </c>
      <c r="I211" s="44"/>
      <c r="K211" s="41"/>
      <c r="L211" s="41"/>
      <c r="M211" s="41"/>
      <c r="N211" s="41"/>
    </row>
    <row r="212" spans="2:14" x14ac:dyDescent="0.25">
      <c r="B212" s="53"/>
      <c r="C212" s="15"/>
      <c r="D212" s="15"/>
      <c r="E212" s="23"/>
      <c r="F212" s="23"/>
      <c r="G212" s="41"/>
      <c r="H212" s="26" t="str">
        <f t="shared" si="6"/>
        <v/>
      </c>
      <c r="I212" s="44"/>
      <c r="K212" s="41"/>
      <c r="L212" s="41"/>
      <c r="M212" s="41"/>
      <c r="N212" s="41"/>
    </row>
    <row r="213" spans="2:14" x14ac:dyDescent="0.25">
      <c r="B213" s="53"/>
      <c r="C213" s="15"/>
      <c r="D213" s="15"/>
      <c r="E213" s="23"/>
      <c r="F213" s="23"/>
      <c r="G213" s="41"/>
      <c r="H213" s="26" t="str">
        <f t="shared" si="6"/>
        <v/>
      </c>
      <c r="I213" s="44"/>
      <c r="K213" s="41"/>
      <c r="L213" s="41"/>
      <c r="M213" s="41"/>
      <c r="N213" s="41"/>
    </row>
    <row r="214" spans="2:14" s="31" customFormat="1" ht="25.2" customHeight="1" x14ac:dyDescent="0.25">
      <c r="B214" s="32" t="str">
        <f>B11</f>
        <v>C1.4</v>
      </c>
      <c r="C214" s="33" t="str">
        <f>"TOTAL CARRIED FORWARD"&amp;IF(H214=H$1," TO SUMMARY (Page C"&amp;Page_A&amp;")","")</f>
        <v>TOTAL CARRIED FORWARD TO SUMMARY (Page C57)</v>
      </c>
      <c r="D214" s="33"/>
      <c r="E214" s="34"/>
      <c r="F214" s="35"/>
      <c r="G214" s="34"/>
      <c r="H214" s="36">
        <f>SUM(H170:H213)</f>
        <v>200000</v>
      </c>
      <c r="I214" s="37"/>
      <c r="K214" s="34"/>
      <c r="L214" s="34"/>
      <c r="M214" s="34"/>
      <c r="N214" s="34"/>
    </row>
  </sheetData>
  <mergeCells count="25">
    <mergeCell ref="F2:H2"/>
    <mergeCell ref="B6:G8"/>
    <mergeCell ref="H5:H8"/>
    <mergeCell ref="B5:G5"/>
    <mergeCell ref="B53:E53"/>
    <mergeCell ref="F53:H55"/>
    <mergeCell ref="B54:E54"/>
    <mergeCell ref="B55:E55"/>
    <mergeCell ref="B56:G56"/>
    <mergeCell ref="H56:H59"/>
    <mergeCell ref="B57:G59"/>
    <mergeCell ref="B114:E114"/>
    <mergeCell ref="F114:H116"/>
    <mergeCell ref="B115:E115"/>
    <mergeCell ref="B116:E116"/>
    <mergeCell ref="B165:G165"/>
    <mergeCell ref="H165:H168"/>
    <mergeCell ref="B166:G168"/>
    <mergeCell ref="B117:G117"/>
    <mergeCell ref="H117:H120"/>
    <mergeCell ref="B118:G120"/>
    <mergeCell ref="B162:E162"/>
    <mergeCell ref="F162:H164"/>
    <mergeCell ref="B163:E163"/>
    <mergeCell ref="B164:E164"/>
  </mergeCells>
  <phoneticPr fontId="14" type="noConversion"/>
  <pageMargins left="0.62992125984251968" right="0.43307086614173229" top="0.62992125984251968" bottom="0.55118110236220474" header="0.51181102362204722" footer="0.31496062992125984"/>
  <pageSetup paperSize="9" scale="75"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rowBreaks count="3" manualBreakCount="3">
    <brk id="52" max="16383" man="1"/>
    <brk id="113" max="7" man="1"/>
    <brk id="16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5E22-0819-4877-AE8F-D8F2A910665C}">
  <sheetPr codeName="Sheet5">
    <tabColor rgb="FF92D050"/>
  </sheetPr>
  <dimension ref="B1:N123"/>
  <sheetViews>
    <sheetView view="pageBreakPreview" topLeftCell="A73" zoomScaleNormal="100" zoomScaleSheetLayoutView="100" zoomScalePageLayoutView="125" workbookViewId="0">
      <selection activeCell="G85" sqref="G85"/>
    </sheetView>
  </sheetViews>
  <sheetFormatPr defaultColWidth="6.6640625" defaultRowHeight="13.2" x14ac:dyDescent="0.25"/>
  <cols>
    <col min="1" max="1" width="0.6640625" style="1" customWidth="1"/>
    <col min="2" max="2" width="11.5546875" style="38" customWidth="1"/>
    <col min="3" max="3" width="45.5546875" style="3" customWidth="1"/>
    <col min="4" max="4" width="4.3320312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0" width="6.6640625" style="1"/>
    <col min="11" max="14" width="15.5546875" style="1" customWidth="1"/>
    <col min="15" max="16384" width="6.6640625" style="1"/>
  </cols>
  <sheetData>
    <row r="1" spans="2:14" x14ac:dyDescent="0.25">
      <c r="H1" s="234">
        <f>MAX(H9:H494)</f>
        <v>25000</v>
      </c>
    </row>
    <row r="2" spans="2:14" x14ac:dyDescent="0.25">
      <c r="B2" s="2" t="str">
        <f>Client1</f>
        <v>Province of KwaZulu-Natal</v>
      </c>
      <c r="F2" s="510" t="str">
        <f>"Contract No. "&amp;ContractNo</f>
        <v>Contract No. ZNB02215/00000/00/HOD/INF/23/T</v>
      </c>
      <c r="G2" s="510"/>
      <c r="H2" s="510"/>
      <c r="K2" s="402"/>
      <c r="L2" s="402">
        <f>MAX(L3:L241)</f>
        <v>2525543.6800000002</v>
      </c>
      <c r="M2" s="402"/>
      <c r="N2" s="403"/>
    </row>
    <row r="3" spans="2:14" x14ac:dyDescent="0.25">
      <c r="B3" s="96" t="str">
        <f>Client2</f>
        <v>Department of Transport</v>
      </c>
      <c r="K3" s="1" t="s">
        <v>1421</v>
      </c>
      <c r="L3" s="1" t="s">
        <v>1422</v>
      </c>
      <c r="M3" s="1" t="s">
        <v>1423</v>
      </c>
      <c r="N3" s="1" t="s">
        <v>1424</v>
      </c>
    </row>
    <row r="4" spans="2:14" x14ac:dyDescent="0.25">
      <c r="B4" s="84"/>
      <c r="C4" s="84"/>
      <c r="D4" s="84"/>
      <c r="E4" s="85"/>
      <c r="F4" s="85"/>
      <c r="G4" s="86"/>
      <c r="H4" s="98"/>
      <c r="K4" s="86"/>
      <c r="L4" s="86"/>
      <c r="M4" s="86"/>
      <c r="N4" s="86"/>
    </row>
    <row r="5" spans="2:14" x14ac:dyDescent="0.25">
      <c r="B5" s="507" t="s">
        <v>8</v>
      </c>
      <c r="C5" s="508"/>
      <c r="D5" s="508"/>
      <c r="E5" s="508"/>
      <c r="F5" s="508"/>
      <c r="G5" s="508"/>
      <c r="H5" s="504" t="str">
        <f>"CHAPTER "&amp;B11</f>
        <v>CHAPTER C1.5</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05"/>
      <c r="I6" s="9"/>
    </row>
    <row r="7" spans="2:14" ht="12.75" customHeight="1" x14ac:dyDescent="0.25">
      <c r="B7" s="500"/>
      <c r="C7" s="501"/>
      <c r="D7" s="501"/>
      <c r="E7" s="501"/>
      <c r="F7" s="501"/>
      <c r="G7" s="501"/>
      <c r="H7" s="505"/>
      <c r="I7" s="9"/>
    </row>
    <row r="8" spans="2:14" ht="7.5" customHeight="1" x14ac:dyDescent="0.25">
      <c r="B8" s="502"/>
      <c r="C8" s="503"/>
      <c r="D8" s="503"/>
      <c r="E8" s="503"/>
      <c r="F8" s="503"/>
      <c r="G8" s="503"/>
      <c r="H8" s="506"/>
      <c r="I8" s="9"/>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14"/>
      <c r="C10" s="15"/>
      <c r="D10" s="15"/>
      <c r="E10" s="16"/>
      <c r="F10" s="16"/>
      <c r="G10" s="17"/>
      <c r="H10" s="18" t="str">
        <f t="shared" ref="H10:H19" si="0">IF(E10="","",F10*G10)</f>
        <v/>
      </c>
      <c r="I10" s="19"/>
      <c r="K10" s="17"/>
      <c r="L10" s="17"/>
      <c r="M10" s="17"/>
      <c r="N10" s="17"/>
    </row>
    <row r="11" spans="2:14" x14ac:dyDescent="0.25">
      <c r="B11" s="80" t="s">
        <v>1362</v>
      </c>
      <c r="C11" s="21" t="s">
        <v>201</v>
      </c>
      <c r="D11" s="21"/>
      <c r="E11" s="23"/>
      <c r="F11" s="23"/>
      <c r="G11" s="43"/>
      <c r="H11" s="18" t="str">
        <f t="shared" si="0"/>
        <v/>
      </c>
      <c r="I11" s="44"/>
      <c r="K11" s="43"/>
      <c r="L11" s="43"/>
      <c r="M11" s="43"/>
      <c r="N11" s="43"/>
    </row>
    <row r="12" spans="2:14" x14ac:dyDescent="0.25">
      <c r="B12" s="53"/>
      <c r="C12" s="15"/>
      <c r="D12" s="15"/>
      <c r="E12" s="23"/>
      <c r="F12" s="23"/>
      <c r="G12" s="43"/>
      <c r="H12" s="18" t="str">
        <f t="shared" si="0"/>
        <v/>
      </c>
      <c r="I12" s="44"/>
      <c r="K12" s="43"/>
      <c r="L12" s="43"/>
      <c r="M12" s="43"/>
      <c r="N12" s="43"/>
    </row>
    <row r="13" spans="2:14" x14ac:dyDescent="0.25">
      <c r="B13" s="53"/>
      <c r="C13" s="15"/>
      <c r="D13" s="15"/>
      <c r="E13" s="23"/>
      <c r="F13" s="24"/>
      <c r="G13" s="41"/>
      <c r="H13" s="18" t="str">
        <f t="shared" si="0"/>
        <v/>
      </c>
      <c r="K13" s="41"/>
      <c r="L13" s="41"/>
      <c r="M13" s="41"/>
      <c r="N13" s="41"/>
    </row>
    <row r="14" spans="2:14" x14ac:dyDescent="0.25">
      <c r="B14" s="53" t="s">
        <v>213</v>
      </c>
      <c r="C14" s="29" t="s">
        <v>214</v>
      </c>
      <c r="D14" s="147"/>
      <c r="E14" s="23" t="s">
        <v>21</v>
      </c>
      <c r="F14" s="24">
        <f>_Duration</f>
        <v>18</v>
      </c>
      <c r="G14" s="41"/>
      <c r="H14" s="18">
        <f t="shared" si="0"/>
        <v>0</v>
      </c>
      <c r="K14" s="48">
        <f>2%*G14</f>
        <v>0</v>
      </c>
      <c r="L14" s="48">
        <f>IF(K14="","",K14*F14)</f>
        <v>0</v>
      </c>
      <c r="M14" s="48"/>
      <c r="N14" s="48"/>
    </row>
    <row r="15" spans="2:14" x14ac:dyDescent="0.25">
      <c r="B15" s="53"/>
      <c r="C15" s="29"/>
      <c r="D15" s="147"/>
      <c r="E15" s="23"/>
      <c r="F15" s="24"/>
      <c r="G15" s="46"/>
      <c r="H15" s="18" t="str">
        <f t="shared" si="0"/>
        <v/>
      </c>
      <c r="K15" s="46"/>
      <c r="L15" s="48" t="str">
        <f t="shared" ref="L15:L80" si="1">IF(K15="","",K15*F15)</f>
        <v/>
      </c>
      <c r="M15" s="46"/>
      <c r="N15" s="46"/>
    </row>
    <row r="16" spans="2:14" x14ac:dyDescent="0.25">
      <c r="B16" s="53" t="s">
        <v>215</v>
      </c>
      <c r="C16" s="15" t="s">
        <v>216</v>
      </c>
      <c r="D16" s="15"/>
      <c r="E16" s="23"/>
      <c r="F16" s="24"/>
      <c r="G16" s="43"/>
      <c r="H16" s="18" t="str">
        <f t="shared" si="0"/>
        <v/>
      </c>
      <c r="I16" s="44"/>
      <c r="K16" s="43"/>
      <c r="L16" s="48" t="str">
        <f t="shared" si="1"/>
        <v/>
      </c>
      <c r="M16" s="43"/>
      <c r="N16" s="43"/>
    </row>
    <row r="17" spans="2:14" x14ac:dyDescent="0.25">
      <c r="B17" s="53"/>
      <c r="C17" s="15"/>
      <c r="D17" s="15"/>
      <c r="E17" s="23"/>
      <c r="F17" s="24"/>
      <c r="G17" s="41"/>
      <c r="H17" s="18" t="str">
        <f t="shared" si="0"/>
        <v/>
      </c>
      <c r="I17" s="45"/>
      <c r="K17" s="41"/>
      <c r="L17" s="48" t="str">
        <f t="shared" si="1"/>
        <v/>
      </c>
      <c r="M17" s="41"/>
      <c r="N17" s="41"/>
    </row>
    <row r="18" spans="2:14" ht="26.4" x14ac:dyDescent="0.25">
      <c r="B18" s="53" t="s">
        <v>1170</v>
      </c>
      <c r="C18" s="15" t="s">
        <v>264</v>
      </c>
      <c r="D18" s="15"/>
      <c r="E18" s="23" t="s">
        <v>32</v>
      </c>
      <c r="F18" s="24">
        <v>2</v>
      </c>
      <c r="G18" s="41"/>
      <c r="H18" s="18">
        <f t="shared" si="0"/>
        <v>0</v>
      </c>
      <c r="I18" s="45"/>
      <c r="K18" s="41">
        <f>5%*G18</f>
        <v>0</v>
      </c>
      <c r="L18" s="48">
        <f t="shared" si="1"/>
        <v>0</v>
      </c>
      <c r="M18" s="41"/>
      <c r="N18" s="41"/>
    </row>
    <row r="19" spans="2:14" s="39" customFormat="1" x14ac:dyDescent="0.25">
      <c r="B19" s="91"/>
      <c r="C19" s="42"/>
      <c r="D19" s="42"/>
      <c r="E19" s="16"/>
      <c r="F19" s="27"/>
      <c r="G19" s="30"/>
      <c r="H19" s="18" t="str">
        <f t="shared" si="0"/>
        <v/>
      </c>
      <c r="I19" s="19"/>
      <c r="J19" s="1"/>
      <c r="K19" s="30"/>
      <c r="L19" s="48" t="str">
        <f t="shared" si="1"/>
        <v/>
      </c>
      <c r="M19" s="30"/>
      <c r="N19" s="30"/>
    </row>
    <row r="20" spans="2:14" x14ac:dyDescent="0.25">
      <c r="B20" s="53" t="s">
        <v>217</v>
      </c>
      <c r="C20" s="15" t="s">
        <v>218</v>
      </c>
      <c r="D20" s="15"/>
      <c r="E20" s="23"/>
      <c r="F20" s="24"/>
      <c r="G20" s="50"/>
      <c r="H20" s="18"/>
      <c r="I20" s="44"/>
      <c r="K20" s="50"/>
      <c r="L20" s="48" t="str">
        <f t="shared" si="1"/>
        <v/>
      </c>
      <c r="M20" s="50"/>
      <c r="N20" s="50"/>
    </row>
    <row r="21" spans="2:14" x14ac:dyDescent="0.25">
      <c r="B21" s="53"/>
      <c r="C21" s="15"/>
      <c r="D21" s="15"/>
      <c r="E21" s="23"/>
      <c r="F21" s="24"/>
      <c r="G21" s="50"/>
      <c r="H21" s="18"/>
      <c r="I21" s="44"/>
      <c r="K21" s="50"/>
      <c r="L21" s="48" t="str">
        <f t="shared" si="1"/>
        <v/>
      </c>
      <c r="M21" s="50"/>
      <c r="N21" s="50"/>
    </row>
    <row r="22" spans="2:14" x14ac:dyDescent="0.25">
      <c r="B22" s="53" t="s">
        <v>219</v>
      </c>
      <c r="C22" s="15" t="s">
        <v>227</v>
      </c>
      <c r="D22" s="15"/>
      <c r="E22" s="23"/>
      <c r="F22" s="23"/>
      <c r="G22" s="51"/>
      <c r="H22" s="18" t="str">
        <f t="shared" ref="H22:H33" si="2">IF(E22="","",F22*G22)</f>
        <v/>
      </c>
      <c r="I22" s="44"/>
      <c r="K22" s="51"/>
      <c r="L22" s="48" t="str">
        <f t="shared" si="1"/>
        <v/>
      </c>
      <c r="M22" s="51"/>
      <c r="N22" s="51"/>
    </row>
    <row r="23" spans="2:14" x14ac:dyDescent="0.25">
      <c r="B23" s="53"/>
      <c r="C23" s="15"/>
      <c r="D23" s="15"/>
      <c r="E23" s="23"/>
      <c r="F23" s="23"/>
      <c r="G23" s="51"/>
      <c r="H23" s="18" t="str">
        <f t="shared" si="2"/>
        <v/>
      </c>
      <c r="I23" s="44"/>
      <c r="K23" s="51"/>
      <c r="L23" s="48" t="str">
        <f t="shared" si="1"/>
        <v/>
      </c>
      <c r="M23" s="51"/>
      <c r="N23" s="51"/>
    </row>
    <row r="24" spans="2:14" ht="26.4" x14ac:dyDescent="0.25">
      <c r="B24" s="53" t="s">
        <v>49</v>
      </c>
      <c r="C24" s="15" t="s">
        <v>1406</v>
      </c>
      <c r="D24" s="15"/>
      <c r="E24" s="23" t="s">
        <v>44</v>
      </c>
      <c r="F24" s="23">
        <v>100</v>
      </c>
      <c r="G24" s="51"/>
      <c r="H24" s="18">
        <f t="shared" si="2"/>
        <v>0</v>
      </c>
      <c r="I24" s="44"/>
      <c r="K24" s="51">
        <f>G24*3%</f>
        <v>0</v>
      </c>
      <c r="L24" s="48">
        <f t="shared" si="1"/>
        <v>0</v>
      </c>
      <c r="M24" s="51"/>
      <c r="N24" s="51"/>
    </row>
    <row r="25" spans="2:14" x14ac:dyDescent="0.25">
      <c r="B25" s="53"/>
      <c r="C25" s="15"/>
      <c r="D25" s="15"/>
      <c r="E25" s="23"/>
      <c r="F25" s="23"/>
      <c r="G25" s="51"/>
      <c r="H25" s="18" t="str">
        <f t="shared" si="2"/>
        <v/>
      </c>
      <c r="I25" s="44"/>
      <c r="K25" s="51"/>
      <c r="L25" s="48" t="str">
        <f t="shared" si="1"/>
        <v/>
      </c>
      <c r="M25" s="51"/>
      <c r="N25" s="51"/>
    </row>
    <row r="26" spans="2:14" ht="26.4" x14ac:dyDescent="0.25">
      <c r="B26" s="53" t="s">
        <v>51</v>
      </c>
      <c r="C26" s="15" t="s">
        <v>1407</v>
      </c>
      <c r="D26" s="15"/>
      <c r="E26" s="23" t="s">
        <v>44</v>
      </c>
      <c r="F26" s="23">
        <v>250</v>
      </c>
      <c r="G26" s="41"/>
      <c r="H26" s="18">
        <f t="shared" si="2"/>
        <v>0</v>
      </c>
      <c r="I26" s="44"/>
      <c r="K26" s="51">
        <f>G26*3%</f>
        <v>0</v>
      </c>
      <c r="L26" s="48">
        <f t="shared" si="1"/>
        <v>0</v>
      </c>
      <c r="M26" s="41"/>
      <c r="N26" s="41"/>
    </row>
    <row r="27" spans="2:14" x14ac:dyDescent="0.25">
      <c r="B27" s="53"/>
      <c r="C27" s="15"/>
      <c r="D27" s="15"/>
      <c r="E27" s="23"/>
      <c r="F27" s="23"/>
      <c r="G27" s="41"/>
      <c r="H27" s="18" t="str">
        <f t="shared" si="2"/>
        <v/>
      </c>
      <c r="I27" s="44"/>
      <c r="K27" s="41"/>
      <c r="L27" s="48" t="str">
        <f t="shared" si="1"/>
        <v/>
      </c>
      <c r="M27" s="41"/>
      <c r="N27" s="41"/>
    </row>
    <row r="28" spans="2:14" x14ac:dyDescent="0.25">
      <c r="B28" s="53" t="s">
        <v>220</v>
      </c>
      <c r="C28" s="15" t="s">
        <v>228</v>
      </c>
      <c r="D28" s="15"/>
      <c r="E28" s="23" t="s">
        <v>44</v>
      </c>
      <c r="F28" s="23">
        <v>50</v>
      </c>
      <c r="G28" s="41"/>
      <c r="H28" s="18">
        <f t="shared" si="2"/>
        <v>0</v>
      </c>
      <c r="I28" s="44"/>
      <c r="K28" s="51">
        <f>G28*3%</f>
        <v>0</v>
      </c>
      <c r="L28" s="48">
        <f t="shared" si="1"/>
        <v>0</v>
      </c>
      <c r="M28" s="41"/>
      <c r="N28" s="41"/>
    </row>
    <row r="29" spans="2:14" x14ac:dyDescent="0.25">
      <c r="B29" s="53"/>
      <c r="C29" s="15"/>
      <c r="D29" s="15"/>
      <c r="E29" s="23"/>
      <c r="F29" s="23"/>
      <c r="G29" s="41"/>
      <c r="H29" s="18" t="str">
        <f t="shared" si="2"/>
        <v/>
      </c>
      <c r="I29" s="44"/>
      <c r="K29" s="41"/>
      <c r="L29" s="48" t="str">
        <f t="shared" si="1"/>
        <v/>
      </c>
      <c r="M29" s="41"/>
      <c r="N29" s="41"/>
    </row>
    <row r="30" spans="2:14" x14ac:dyDescent="0.25">
      <c r="B30" s="53" t="s">
        <v>221</v>
      </c>
      <c r="C30" s="15" t="s">
        <v>229</v>
      </c>
      <c r="D30" s="23" t="s">
        <v>1602</v>
      </c>
      <c r="E30" s="23" t="s">
        <v>303</v>
      </c>
      <c r="F30" s="23">
        <v>3960</v>
      </c>
      <c r="G30" s="41"/>
      <c r="H30" s="18">
        <f t="shared" si="2"/>
        <v>0</v>
      </c>
      <c r="I30" s="44"/>
      <c r="K30" s="41">
        <f>_LabourDaily</f>
        <v>318.56</v>
      </c>
      <c r="L30" s="48">
        <f t="shared" si="1"/>
        <v>1261497.6000000001</v>
      </c>
      <c r="M30" s="41"/>
      <c r="N30" s="41"/>
    </row>
    <row r="31" spans="2:14" x14ac:dyDescent="0.25">
      <c r="B31" s="53"/>
      <c r="C31" s="15"/>
      <c r="D31" s="23"/>
      <c r="E31" s="23"/>
      <c r="F31" s="23"/>
      <c r="G31" s="41"/>
      <c r="H31" s="18" t="str">
        <f t="shared" si="2"/>
        <v/>
      </c>
      <c r="I31" s="44"/>
      <c r="K31" s="41"/>
      <c r="L31" s="48" t="str">
        <f t="shared" si="1"/>
        <v/>
      </c>
      <c r="M31" s="41"/>
      <c r="N31" s="41"/>
    </row>
    <row r="32" spans="2:14" x14ac:dyDescent="0.25">
      <c r="B32" s="53" t="s">
        <v>222</v>
      </c>
      <c r="C32" s="15" t="s">
        <v>230</v>
      </c>
      <c r="D32" s="23" t="s">
        <v>1602</v>
      </c>
      <c r="E32" s="23" t="s">
        <v>303</v>
      </c>
      <c r="F32" s="23">
        <v>3960</v>
      </c>
      <c r="G32" s="41"/>
      <c r="H32" s="18">
        <f t="shared" si="2"/>
        <v>0</v>
      </c>
      <c r="I32" s="44"/>
      <c r="K32" s="41">
        <f>_LabourDaily</f>
        <v>318.56</v>
      </c>
      <c r="L32" s="48">
        <f t="shared" si="1"/>
        <v>1261497.6000000001</v>
      </c>
      <c r="M32" s="41"/>
      <c r="N32" s="41"/>
    </row>
    <row r="33" spans="2:14" x14ac:dyDescent="0.25">
      <c r="B33" s="53"/>
      <c r="C33" s="15"/>
      <c r="D33" s="15"/>
      <c r="E33" s="23"/>
      <c r="F33" s="23"/>
      <c r="G33" s="41"/>
      <c r="H33" s="18" t="str">
        <f t="shared" si="2"/>
        <v/>
      </c>
      <c r="I33" s="44"/>
      <c r="K33" s="41"/>
      <c r="L33" s="48" t="str">
        <f t="shared" si="1"/>
        <v/>
      </c>
      <c r="M33" s="41"/>
      <c r="N33" s="41"/>
    </row>
    <row r="34" spans="2:14" x14ac:dyDescent="0.25">
      <c r="B34" s="53" t="s">
        <v>223</v>
      </c>
      <c r="C34" s="15" t="s">
        <v>231</v>
      </c>
      <c r="D34" s="15"/>
      <c r="E34" s="23"/>
      <c r="F34" s="23"/>
      <c r="G34" s="41"/>
      <c r="H34" s="18"/>
      <c r="I34" s="44"/>
      <c r="K34" s="41"/>
      <c r="L34" s="48" t="str">
        <f t="shared" si="1"/>
        <v/>
      </c>
      <c r="M34" s="41"/>
      <c r="N34" s="41"/>
    </row>
    <row r="35" spans="2:14" x14ac:dyDescent="0.25">
      <c r="B35" s="53"/>
      <c r="C35" s="15"/>
      <c r="D35" s="15"/>
      <c r="E35" s="23"/>
      <c r="F35" s="23"/>
      <c r="G35" s="41"/>
      <c r="H35" s="18"/>
      <c r="I35" s="44"/>
      <c r="K35" s="41"/>
      <c r="L35" s="48" t="str">
        <f t="shared" si="1"/>
        <v/>
      </c>
      <c r="M35" s="41"/>
      <c r="N35" s="41"/>
    </row>
    <row r="36" spans="2:14" ht="39.6" x14ac:dyDescent="0.25">
      <c r="B36" s="53" t="s">
        <v>49</v>
      </c>
      <c r="C36" s="29" t="s">
        <v>232</v>
      </c>
      <c r="D36" s="147"/>
      <c r="E36" s="23"/>
      <c r="F36" s="23"/>
      <c r="G36" s="41"/>
      <c r="H36" s="18" t="str">
        <f t="shared" ref="H36:H64" si="3">IF(E36="","",F36*G36)</f>
        <v/>
      </c>
      <c r="I36" s="44"/>
      <c r="K36" s="41"/>
      <c r="L36" s="48" t="str">
        <f t="shared" si="1"/>
        <v/>
      </c>
      <c r="M36" s="41"/>
      <c r="N36" s="41"/>
    </row>
    <row r="37" spans="2:14" x14ac:dyDescent="0.25">
      <c r="B37" s="53"/>
      <c r="C37" s="29"/>
      <c r="D37" s="147"/>
      <c r="E37" s="23"/>
      <c r="F37" s="23"/>
      <c r="G37" s="41"/>
      <c r="H37" s="18" t="str">
        <f t="shared" si="3"/>
        <v/>
      </c>
      <c r="I37" s="44"/>
      <c r="K37" s="41"/>
      <c r="L37" s="48" t="str">
        <f t="shared" si="1"/>
        <v/>
      </c>
      <c r="M37" s="41"/>
      <c r="N37" s="41"/>
    </row>
    <row r="38" spans="2:14" x14ac:dyDescent="0.25">
      <c r="B38" s="53" t="s">
        <v>233</v>
      </c>
      <c r="C38" s="29" t="s">
        <v>234</v>
      </c>
      <c r="D38" s="147"/>
      <c r="E38" s="23" t="s">
        <v>44</v>
      </c>
      <c r="F38" s="40">
        <v>5</v>
      </c>
      <c r="G38" s="41"/>
      <c r="H38" s="18">
        <f t="shared" si="3"/>
        <v>0</v>
      </c>
      <c r="I38" s="44"/>
      <c r="K38" s="41">
        <f>_LabourRate*2</f>
        <v>79.64</v>
      </c>
      <c r="L38" s="48">
        <f t="shared" si="1"/>
        <v>398.2</v>
      </c>
      <c r="M38" s="41"/>
      <c r="N38" s="41"/>
    </row>
    <row r="39" spans="2:14" x14ac:dyDescent="0.25">
      <c r="B39" s="53"/>
      <c r="C39" s="29"/>
      <c r="D39" s="147"/>
      <c r="E39" s="23"/>
      <c r="F39" s="40"/>
      <c r="G39" s="41"/>
      <c r="H39" s="18" t="str">
        <f t="shared" si="3"/>
        <v/>
      </c>
      <c r="I39" s="44"/>
      <c r="K39" s="41"/>
      <c r="L39" s="48" t="str">
        <f t="shared" si="1"/>
        <v/>
      </c>
      <c r="M39" s="41"/>
      <c r="N39" s="41"/>
    </row>
    <row r="40" spans="2:14" x14ac:dyDescent="0.25">
      <c r="B40" s="53" t="s">
        <v>235</v>
      </c>
      <c r="C40" s="15" t="s">
        <v>236</v>
      </c>
      <c r="D40" s="15"/>
      <c r="E40" s="23" t="s">
        <v>44</v>
      </c>
      <c r="F40" s="23">
        <v>5</v>
      </c>
      <c r="G40" s="41"/>
      <c r="H40" s="18">
        <f t="shared" si="3"/>
        <v>0</v>
      </c>
      <c r="I40" s="44"/>
      <c r="K40" s="41">
        <f>_LabourRate*2</f>
        <v>79.64</v>
      </c>
      <c r="L40" s="48">
        <f t="shared" si="1"/>
        <v>398.2</v>
      </c>
      <c r="M40" s="41"/>
      <c r="N40" s="41"/>
    </row>
    <row r="41" spans="2:14" x14ac:dyDescent="0.25">
      <c r="B41" s="53"/>
      <c r="C41" s="29"/>
      <c r="D41" s="147"/>
      <c r="E41" s="23"/>
      <c r="F41" s="23"/>
      <c r="G41" s="41"/>
      <c r="H41" s="18" t="str">
        <f t="shared" si="3"/>
        <v/>
      </c>
      <c r="I41" s="44"/>
      <c r="K41" s="41"/>
      <c r="L41" s="48" t="str">
        <f t="shared" si="1"/>
        <v/>
      </c>
      <c r="M41" s="41"/>
      <c r="N41" s="41"/>
    </row>
    <row r="42" spans="2:14" x14ac:dyDescent="0.25">
      <c r="B42" s="53" t="s">
        <v>51</v>
      </c>
      <c r="C42" s="29" t="s">
        <v>237</v>
      </c>
      <c r="D42" s="147"/>
      <c r="E42" s="23" t="s">
        <v>44</v>
      </c>
      <c r="F42" s="40">
        <v>2</v>
      </c>
      <c r="G42" s="41"/>
      <c r="H42" s="18">
        <f t="shared" si="3"/>
        <v>0</v>
      </c>
      <c r="I42" s="44"/>
      <c r="K42" s="41">
        <f>_LabourRate*2</f>
        <v>79.64</v>
      </c>
      <c r="L42" s="48">
        <f t="shared" si="1"/>
        <v>159.28</v>
      </c>
      <c r="M42" s="41"/>
      <c r="N42" s="41"/>
    </row>
    <row r="43" spans="2:14" x14ac:dyDescent="0.25">
      <c r="B43" s="53"/>
      <c r="C43" s="29"/>
      <c r="D43" s="147"/>
      <c r="E43" s="23"/>
      <c r="F43" s="40"/>
      <c r="G43" s="41"/>
      <c r="H43" s="18" t="str">
        <f t="shared" si="3"/>
        <v/>
      </c>
      <c r="I43" s="44"/>
      <c r="K43" s="41"/>
      <c r="L43" s="48" t="str">
        <f t="shared" si="1"/>
        <v/>
      </c>
      <c r="M43" s="41"/>
      <c r="N43" s="41"/>
    </row>
    <row r="44" spans="2:14" x14ac:dyDescent="0.25">
      <c r="B44" s="53" t="s">
        <v>65</v>
      </c>
      <c r="C44" s="28" t="s">
        <v>1408</v>
      </c>
      <c r="D44" s="146"/>
      <c r="E44" s="23" t="s">
        <v>44</v>
      </c>
      <c r="F44" s="40">
        <v>10</v>
      </c>
      <c r="G44" s="41"/>
      <c r="H44" s="18">
        <f t="shared" si="3"/>
        <v>0</v>
      </c>
      <c r="I44" s="44"/>
      <c r="K44" s="41">
        <f>_LabourRate*2</f>
        <v>79.64</v>
      </c>
      <c r="L44" s="48">
        <f t="shared" si="1"/>
        <v>796.4</v>
      </c>
      <c r="M44" s="41"/>
      <c r="N44" s="41"/>
    </row>
    <row r="45" spans="2:14" x14ac:dyDescent="0.25">
      <c r="B45" s="53"/>
      <c r="C45" s="28"/>
      <c r="D45" s="146"/>
      <c r="E45" s="23"/>
      <c r="F45" s="40"/>
      <c r="G45" s="41"/>
      <c r="H45" s="18" t="str">
        <f t="shared" si="3"/>
        <v/>
      </c>
      <c r="I45" s="44"/>
      <c r="K45" s="41"/>
      <c r="L45" s="48" t="str">
        <f t="shared" si="1"/>
        <v/>
      </c>
      <c r="M45" s="41"/>
      <c r="N45" s="41"/>
    </row>
    <row r="46" spans="2:14" x14ac:dyDescent="0.25">
      <c r="B46" s="53" t="s">
        <v>53</v>
      </c>
      <c r="C46" s="28" t="s">
        <v>1409</v>
      </c>
      <c r="D46" s="146"/>
      <c r="E46" s="23" t="s">
        <v>44</v>
      </c>
      <c r="F46" s="23">
        <v>10</v>
      </c>
      <c r="G46" s="41"/>
      <c r="H46" s="18">
        <f t="shared" si="3"/>
        <v>0</v>
      </c>
      <c r="I46" s="44"/>
      <c r="K46" s="41">
        <f>_LabourRate*2</f>
        <v>79.64</v>
      </c>
      <c r="L46" s="48">
        <f t="shared" si="1"/>
        <v>796.4</v>
      </c>
      <c r="M46" s="41"/>
      <c r="N46" s="41"/>
    </row>
    <row r="47" spans="2:14" x14ac:dyDescent="0.25">
      <c r="B47" s="53"/>
      <c r="C47" s="28"/>
      <c r="D47" s="146"/>
      <c r="E47" s="23"/>
      <c r="F47" s="23"/>
      <c r="G47" s="41"/>
      <c r="H47" s="18" t="str">
        <f t="shared" si="3"/>
        <v/>
      </c>
      <c r="I47" s="44"/>
      <c r="K47" s="41"/>
      <c r="L47" s="48" t="str">
        <f t="shared" si="1"/>
        <v/>
      </c>
      <c r="M47" s="41"/>
      <c r="N47" s="41"/>
    </row>
    <row r="48" spans="2:14" x14ac:dyDescent="0.25">
      <c r="B48" s="53" t="s">
        <v>224</v>
      </c>
      <c r="C48" s="15" t="s">
        <v>238</v>
      </c>
      <c r="D48" s="15"/>
      <c r="E48" s="23"/>
      <c r="F48" s="23"/>
      <c r="G48" s="41"/>
      <c r="H48" s="18" t="str">
        <f t="shared" si="3"/>
        <v/>
      </c>
      <c r="I48" s="44"/>
      <c r="K48" s="41"/>
      <c r="L48" s="48" t="str">
        <f t="shared" si="1"/>
        <v/>
      </c>
      <c r="M48" s="41"/>
      <c r="N48" s="41"/>
    </row>
    <row r="49" spans="2:14" x14ac:dyDescent="0.25">
      <c r="B49" s="53"/>
      <c r="C49" s="15"/>
      <c r="D49" s="15"/>
      <c r="E49" s="23"/>
      <c r="F49" s="23"/>
      <c r="G49" s="41"/>
      <c r="H49" s="18" t="str">
        <f t="shared" si="3"/>
        <v/>
      </c>
      <c r="I49" s="44"/>
      <c r="K49" s="41"/>
      <c r="L49" s="48" t="str">
        <f t="shared" si="1"/>
        <v/>
      </c>
      <c r="M49" s="41"/>
      <c r="N49" s="41"/>
    </row>
    <row r="50" spans="2:14" ht="26.4" x14ac:dyDescent="0.25">
      <c r="B50" s="53" t="s">
        <v>49</v>
      </c>
      <c r="C50" s="15" t="s">
        <v>239</v>
      </c>
      <c r="D50" s="15"/>
      <c r="E50" s="23" t="s">
        <v>21</v>
      </c>
      <c r="F50" s="23">
        <f>_Duration</f>
        <v>18</v>
      </c>
      <c r="G50" s="41"/>
      <c r="H50" s="18">
        <f t="shared" si="3"/>
        <v>0</v>
      </c>
      <c r="I50" s="44"/>
      <c r="K50" s="41">
        <f>10%*G50</f>
        <v>0</v>
      </c>
      <c r="L50" s="48">
        <f t="shared" si="1"/>
        <v>0</v>
      </c>
      <c r="M50" s="41"/>
      <c r="N50" s="41"/>
    </row>
    <row r="51" spans="2:14" x14ac:dyDescent="0.25">
      <c r="B51" s="53"/>
      <c r="C51" s="15"/>
      <c r="D51" s="15"/>
      <c r="E51" s="23"/>
      <c r="F51" s="23"/>
      <c r="G51" s="41"/>
      <c r="H51" s="18" t="str">
        <f t="shared" si="3"/>
        <v/>
      </c>
      <c r="I51" s="44"/>
      <c r="K51" s="41"/>
      <c r="L51" s="48" t="str">
        <f t="shared" si="1"/>
        <v/>
      </c>
      <c r="M51" s="41"/>
      <c r="N51" s="41"/>
    </row>
    <row r="52" spans="2:14" x14ac:dyDescent="0.25">
      <c r="B52" s="53" t="s">
        <v>51</v>
      </c>
      <c r="C52" s="15" t="s">
        <v>237</v>
      </c>
      <c r="D52" s="15"/>
      <c r="E52" s="23" t="s">
        <v>21</v>
      </c>
      <c r="F52" s="23">
        <f>_Duration</f>
        <v>18</v>
      </c>
      <c r="G52" s="41"/>
      <c r="H52" s="18">
        <f t="shared" si="3"/>
        <v>0</v>
      </c>
      <c r="I52" s="44"/>
      <c r="K52" s="41">
        <f>10%*G52</f>
        <v>0</v>
      </c>
      <c r="L52" s="48">
        <f t="shared" si="1"/>
        <v>0</v>
      </c>
      <c r="M52" s="41"/>
      <c r="N52" s="41"/>
    </row>
    <row r="53" spans="2:14" x14ac:dyDescent="0.25">
      <c r="B53" s="53"/>
      <c r="C53" s="29"/>
      <c r="D53" s="147"/>
      <c r="E53" s="23"/>
      <c r="F53" s="23"/>
      <c r="G53" s="41"/>
      <c r="H53" s="18" t="str">
        <f t="shared" si="3"/>
        <v/>
      </c>
      <c r="I53" s="44"/>
      <c r="K53" s="41"/>
      <c r="L53" s="48" t="str">
        <f t="shared" si="1"/>
        <v/>
      </c>
      <c r="M53" s="41"/>
      <c r="N53" s="41"/>
    </row>
    <row r="54" spans="2:14" x14ac:dyDescent="0.25">
      <c r="B54" s="53" t="s">
        <v>65</v>
      </c>
      <c r="C54" s="28" t="s">
        <v>1408</v>
      </c>
      <c r="D54" s="146"/>
      <c r="E54" s="23" t="s">
        <v>21</v>
      </c>
      <c r="F54" s="23">
        <f>_Duration</f>
        <v>18</v>
      </c>
      <c r="G54" s="41"/>
      <c r="H54" s="18">
        <f t="shared" si="3"/>
        <v>0</v>
      </c>
      <c r="I54" s="44"/>
      <c r="K54" s="41">
        <f>10%*G54</f>
        <v>0</v>
      </c>
      <c r="L54" s="48">
        <f t="shared" si="1"/>
        <v>0</v>
      </c>
      <c r="M54" s="41"/>
      <c r="N54" s="41"/>
    </row>
    <row r="55" spans="2:14" x14ac:dyDescent="0.25">
      <c r="B55" s="53"/>
      <c r="C55" s="28"/>
      <c r="D55" s="146"/>
      <c r="E55" s="23"/>
      <c r="F55" s="23"/>
      <c r="G55" s="41"/>
      <c r="H55" s="18" t="str">
        <f t="shared" si="3"/>
        <v/>
      </c>
      <c r="I55" s="44"/>
      <c r="K55" s="41"/>
      <c r="L55" s="48" t="str">
        <f t="shared" si="1"/>
        <v/>
      </c>
      <c r="M55" s="41"/>
      <c r="N55" s="41"/>
    </row>
    <row r="56" spans="2:14" x14ac:dyDescent="0.25">
      <c r="B56" s="53" t="s">
        <v>53</v>
      </c>
      <c r="C56" s="28" t="s">
        <v>1409</v>
      </c>
      <c r="D56" s="146"/>
      <c r="E56" s="23" t="s">
        <v>21</v>
      </c>
      <c r="F56" s="23">
        <f>_Duration</f>
        <v>18</v>
      </c>
      <c r="G56" s="41"/>
      <c r="H56" s="18">
        <f t="shared" si="3"/>
        <v>0</v>
      </c>
      <c r="I56" s="44"/>
      <c r="K56" s="41">
        <f>10%*G56</f>
        <v>0</v>
      </c>
      <c r="L56" s="48">
        <f t="shared" si="1"/>
        <v>0</v>
      </c>
      <c r="M56" s="41"/>
      <c r="N56" s="41"/>
    </row>
    <row r="57" spans="2:14" x14ac:dyDescent="0.25">
      <c r="B57" s="53"/>
      <c r="C57" s="28"/>
      <c r="D57" s="146"/>
      <c r="E57" s="23"/>
      <c r="F57" s="23"/>
      <c r="G57" s="41"/>
      <c r="H57" s="18" t="str">
        <f t="shared" si="3"/>
        <v/>
      </c>
      <c r="I57" s="44"/>
      <c r="K57" s="41"/>
      <c r="L57" s="48" t="str">
        <f t="shared" si="1"/>
        <v/>
      </c>
      <c r="M57" s="41"/>
      <c r="N57" s="41"/>
    </row>
    <row r="58" spans="2:14" x14ac:dyDescent="0.25">
      <c r="B58" s="53" t="s">
        <v>225</v>
      </c>
      <c r="C58" s="15" t="s">
        <v>240</v>
      </c>
      <c r="D58" s="15"/>
      <c r="E58" s="23" t="s">
        <v>21</v>
      </c>
      <c r="F58" s="23">
        <v>12</v>
      </c>
      <c r="G58" s="41"/>
      <c r="H58" s="18">
        <f t="shared" si="3"/>
        <v>0</v>
      </c>
      <c r="I58" s="44"/>
      <c r="K58" s="41">
        <f>10%*G58</f>
        <v>0</v>
      </c>
      <c r="L58" s="48">
        <f t="shared" si="1"/>
        <v>0</v>
      </c>
      <c r="M58" s="41"/>
      <c r="N58" s="41"/>
    </row>
    <row r="59" spans="2:14" x14ac:dyDescent="0.25">
      <c r="B59" s="53"/>
      <c r="C59" s="15"/>
      <c r="D59" s="15"/>
      <c r="E59" s="23"/>
      <c r="F59" s="23"/>
      <c r="G59" s="41"/>
      <c r="H59" s="18" t="str">
        <f t="shared" si="3"/>
        <v/>
      </c>
      <c r="I59" s="44"/>
      <c r="K59" s="41"/>
      <c r="L59" s="48" t="str">
        <f t="shared" si="1"/>
        <v/>
      </c>
      <c r="M59" s="41"/>
      <c r="N59" s="41"/>
    </row>
    <row r="60" spans="2:14" x14ac:dyDescent="0.25">
      <c r="B60" s="53" t="s">
        <v>226</v>
      </c>
      <c r="C60" s="15" t="s">
        <v>241</v>
      </c>
      <c r="D60" s="15"/>
      <c r="E60" s="23" t="s">
        <v>21</v>
      </c>
      <c r="F60" s="23">
        <v>12</v>
      </c>
      <c r="G60" s="41"/>
      <c r="H60" s="18">
        <f t="shared" si="3"/>
        <v>0</v>
      </c>
      <c r="I60" s="44"/>
      <c r="K60" s="41">
        <f>10%*G60</f>
        <v>0</v>
      </c>
      <c r="L60" s="48">
        <f t="shared" si="1"/>
        <v>0</v>
      </c>
      <c r="M60" s="41"/>
      <c r="N60" s="41"/>
    </row>
    <row r="61" spans="2:14" x14ac:dyDescent="0.25">
      <c r="B61" s="53"/>
      <c r="C61" s="15"/>
      <c r="D61" s="15"/>
      <c r="E61" s="23"/>
      <c r="F61" s="23"/>
      <c r="G61" s="41"/>
      <c r="H61" s="18" t="str">
        <f t="shared" si="3"/>
        <v/>
      </c>
      <c r="I61" s="44"/>
      <c r="K61" s="41"/>
      <c r="L61" s="48" t="str">
        <f t="shared" si="1"/>
        <v/>
      </c>
      <c r="M61" s="41"/>
      <c r="N61" s="41"/>
    </row>
    <row r="62" spans="2:14" x14ac:dyDescent="0.25">
      <c r="B62" s="53" t="s">
        <v>242</v>
      </c>
      <c r="C62" s="15" t="s">
        <v>243</v>
      </c>
      <c r="D62" s="15"/>
      <c r="E62" s="23" t="s">
        <v>304</v>
      </c>
      <c r="F62" s="23">
        <f>_Duration</f>
        <v>18</v>
      </c>
      <c r="G62" s="41"/>
      <c r="H62" s="18">
        <f t="shared" si="3"/>
        <v>0</v>
      </c>
      <c r="I62" s="44"/>
      <c r="K62" s="41"/>
      <c r="L62" s="48" t="str">
        <f t="shared" si="1"/>
        <v/>
      </c>
      <c r="M62" s="41"/>
      <c r="N62" s="41"/>
    </row>
    <row r="63" spans="2:14" x14ac:dyDescent="0.25">
      <c r="B63" s="53"/>
      <c r="C63" s="15"/>
      <c r="D63" s="15"/>
      <c r="E63" s="23"/>
      <c r="F63" s="23"/>
      <c r="G63" s="41"/>
      <c r="H63" s="18" t="str">
        <f t="shared" si="3"/>
        <v/>
      </c>
      <c r="I63" s="44"/>
      <c r="K63" s="41"/>
      <c r="L63" s="48" t="str">
        <f t="shared" si="1"/>
        <v/>
      </c>
      <c r="M63" s="41"/>
      <c r="N63" s="41"/>
    </row>
    <row r="64" spans="2:14" x14ac:dyDescent="0.25">
      <c r="B64" s="53" t="s">
        <v>244</v>
      </c>
      <c r="C64" s="15" t="s">
        <v>245</v>
      </c>
      <c r="D64" s="15"/>
      <c r="E64" s="23" t="s">
        <v>21</v>
      </c>
      <c r="F64" s="23">
        <f>_Duration</f>
        <v>18</v>
      </c>
      <c r="G64" s="41"/>
      <c r="H64" s="18">
        <f t="shared" si="3"/>
        <v>0</v>
      </c>
      <c r="I64" s="44"/>
      <c r="K64" s="41"/>
      <c r="L64" s="48" t="str">
        <f t="shared" si="1"/>
        <v/>
      </c>
      <c r="M64" s="41"/>
      <c r="N64" s="41"/>
    </row>
    <row r="65" spans="2:14" x14ac:dyDescent="0.25">
      <c r="B65" s="53"/>
      <c r="C65" s="15"/>
      <c r="D65" s="15"/>
      <c r="E65" s="23"/>
      <c r="F65" s="23"/>
      <c r="G65" s="41"/>
      <c r="H65" s="18"/>
      <c r="I65" s="44"/>
      <c r="K65" s="41"/>
      <c r="L65" s="48"/>
      <c r="M65" s="41"/>
      <c r="N65" s="41"/>
    </row>
    <row r="66" spans="2:14" x14ac:dyDescent="0.25">
      <c r="B66" s="53"/>
      <c r="C66" s="15"/>
      <c r="D66" s="15"/>
      <c r="E66" s="23"/>
      <c r="F66" s="23"/>
      <c r="G66" s="41"/>
      <c r="H66" s="18"/>
      <c r="I66" s="44"/>
      <c r="K66" s="41"/>
      <c r="L66" s="48"/>
      <c r="M66" s="41"/>
      <c r="N66" s="41"/>
    </row>
    <row r="67" spans="2:14" x14ac:dyDescent="0.25">
      <c r="B67" s="53"/>
      <c r="C67" s="15"/>
      <c r="D67" s="15"/>
      <c r="E67" s="23"/>
      <c r="F67" s="23"/>
      <c r="G67" s="41"/>
      <c r="H67" s="18"/>
      <c r="I67" s="44"/>
      <c r="K67" s="41"/>
      <c r="L67" s="48"/>
      <c r="M67" s="41"/>
      <c r="N67" s="41"/>
    </row>
    <row r="68" spans="2:14" x14ac:dyDescent="0.25">
      <c r="B68" s="53"/>
      <c r="C68" s="15"/>
      <c r="D68" s="15"/>
      <c r="E68" s="23"/>
      <c r="F68" s="23"/>
      <c r="G68" s="41"/>
      <c r="H68" s="18"/>
      <c r="I68" s="44"/>
      <c r="K68" s="41"/>
      <c r="L68" s="48"/>
      <c r="M68" s="41"/>
      <c r="N68" s="41"/>
    </row>
    <row r="69" spans="2:14" x14ac:dyDescent="0.25">
      <c r="B69" s="53"/>
      <c r="C69" s="15"/>
      <c r="D69" s="15"/>
      <c r="E69" s="23"/>
      <c r="F69" s="23"/>
      <c r="G69" s="41"/>
      <c r="H69" s="18"/>
      <c r="I69" s="44"/>
      <c r="K69" s="41"/>
      <c r="L69" s="48" t="str">
        <f t="shared" si="1"/>
        <v/>
      </c>
      <c r="M69" s="41"/>
      <c r="N69" s="41"/>
    </row>
    <row r="70" spans="2:14" x14ac:dyDescent="0.25">
      <c r="B70" s="53"/>
      <c r="C70" s="15"/>
      <c r="D70" s="15"/>
      <c r="E70" s="23"/>
      <c r="F70" s="23"/>
      <c r="G70" s="41"/>
      <c r="H70" s="18" t="str">
        <f>IF(E70="","",F70*G70)</f>
        <v/>
      </c>
      <c r="I70" s="44"/>
      <c r="K70" s="41"/>
      <c r="L70" s="48" t="str">
        <f t="shared" si="1"/>
        <v/>
      </c>
      <c r="M70" s="41"/>
      <c r="N70" s="41"/>
    </row>
    <row r="71" spans="2:14" x14ac:dyDescent="0.25">
      <c r="B71" s="53"/>
      <c r="C71" s="15"/>
      <c r="D71" s="15"/>
      <c r="E71" s="23"/>
      <c r="F71" s="23"/>
      <c r="G71" s="41"/>
      <c r="H71" s="18" t="str">
        <f>IF(E71="","",F71*G71)</f>
        <v/>
      </c>
      <c r="I71" s="44"/>
      <c r="K71" s="41"/>
      <c r="L71" s="48" t="str">
        <f t="shared" si="1"/>
        <v/>
      </c>
      <c r="M71" s="41"/>
      <c r="N71" s="41"/>
    </row>
    <row r="72" spans="2:14" s="31" customFormat="1" ht="20.100000000000001" customHeight="1" x14ac:dyDescent="0.25">
      <c r="B72" s="87" t="str">
        <f>$B$11</f>
        <v>C1.5</v>
      </c>
      <c r="C72" s="33" t="s">
        <v>12</v>
      </c>
      <c r="D72" s="33"/>
      <c r="E72" s="34"/>
      <c r="F72" s="35"/>
      <c r="G72" s="34"/>
      <c r="H72" s="36">
        <f>SUM(H10:H71)</f>
        <v>0</v>
      </c>
      <c r="I72" s="37"/>
      <c r="K72" s="34"/>
      <c r="L72" s="48" t="str">
        <f t="shared" si="1"/>
        <v/>
      </c>
      <c r="M72" s="34"/>
      <c r="N72" s="34"/>
    </row>
    <row r="73" spans="2:14" x14ac:dyDescent="0.25">
      <c r="B73" s="498" t="str">
        <f>Client1</f>
        <v>Province of KwaZulu-Natal</v>
      </c>
      <c r="C73" s="498"/>
      <c r="D73" s="498"/>
      <c r="E73" s="498"/>
      <c r="F73" s="496" t="str">
        <f>"Contract No. "&amp;ContractNo</f>
        <v>Contract No. ZNB02215/00000/00/HOD/INF/23/T</v>
      </c>
      <c r="G73" s="496"/>
      <c r="H73" s="496"/>
      <c r="L73" s="48" t="str">
        <f t="shared" si="1"/>
        <v/>
      </c>
    </row>
    <row r="74" spans="2:14" x14ac:dyDescent="0.25">
      <c r="B74" s="498" t="str">
        <f>Client2</f>
        <v>Department of Transport</v>
      </c>
      <c r="C74" s="498"/>
      <c r="D74" s="498"/>
      <c r="E74" s="498"/>
      <c r="F74" s="496"/>
      <c r="G74" s="496"/>
      <c r="H74" s="496"/>
      <c r="L74" s="48" t="str">
        <f t="shared" si="1"/>
        <v/>
      </c>
    </row>
    <row r="75" spans="2:14" x14ac:dyDescent="0.25">
      <c r="B75" s="499"/>
      <c r="C75" s="499"/>
      <c r="D75" s="499"/>
      <c r="E75" s="499"/>
      <c r="F75" s="497"/>
      <c r="G75" s="497"/>
      <c r="H75" s="497"/>
      <c r="L75" s="48" t="str">
        <f t="shared" si="1"/>
        <v/>
      </c>
    </row>
    <row r="76" spans="2:14" x14ac:dyDescent="0.25">
      <c r="B76" s="507" t="s">
        <v>8</v>
      </c>
      <c r="C76" s="508"/>
      <c r="D76" s="508"/>
      <c r="E76" s="508"/>
      <c r="F76" s="508"/>
      <c r="G76" s="508"/>
      <c r="H76" s="509" t="str">
        <f>H5</f>
        <v>CHAPTER C1.5</v>
      </c>
      <c r="I76" s="6"/>
      <c r="L76" s="48" t="str">
        <f t="shared" si="1"/>
        <v/>
      </c>
    </row>
    <row r="77" spans="2:14" x14ac:dyDescent="0.25">
      <c r="B77" s="500" t="str">
        <f>ContractDescription</f>
        <v>UPGRADING OF MAIN ROAD P8/3 FROM GRAVEL TO BLACKTOP BETWEEN KM 17.560 AND KM 24.221 IN THE PIETERMARITZBURG REGION</v>
      </c>
      <c r="C77" s="501"/>
      <c r="D77" s="501"/>
      <c r="E77" s="501"/>
      <c r="F77" s="501"/>
      <c r="G77" s="501"/>
      <c r="H77" s="496"/>
      <c r="I77" s="9"/>
      <c r="L77" s="48" t="str">
        <f t="shared" si="1"/>
        <v/>
      </c>
    </row>
    <row r="78" spans="2:14" x14ac:dyDescent="0.25">
      <c r="B78" s="500"/>
      <c r="C78" s="501"/>
      <c r="D78" s="501"/>
      <c r="E78" s="501"/>
      <c r="F78" s="501"/>
      <c r="G78" s="501"/>
      <c r="H78" s="496"/>
      <c r="I78" s="9"/>
      <c r="L78" s="48" t="str">
        <f t="shared" si="1"/>
        <v/>
      </c>
    </row>
    <row r="79" spans="2:14" x14ac:dyDescent="0.25">
      <c r="B79" s="502"/>
      <c r="C79" s="503"/>
      <c r="D79" s="503"/>
      <c r="E79" s="503"/>
      <c r="F79" s="503"/>
      <c r="G79" s="503"/>
      <c r="H79" s="497"/>
      <c r="I79" s="9"/>
      <c r="L79" s="48" t="str">
        <f t="shared" si="1"/>
        <v/>
      </c>
    </row>
    <row r="80" spans="2:14" s="10" customFormat="1" ht="25.2" customHeight="1" x14ac:dyDescent="0.25">
      <c r="B80" s="81" t="s">
        <v>0</v>
      </c>
      <c r="C80" s="12" t="s">
        <v>1</v>
      </c>
      <c r="D80" s="12" t="s">
        <v>1602</v>
      </c>
      <c r="E80" s="12" t="s">
        <v>2</v>
      </c>
      <c r="F80" s="12" t="s">
        <v>3</v>
      </c>
      <c r="G80" s="12" t="s">
        <v>4</v>
      </c>
      <c r="H80" s="12" t="s">
        <v>5</v>
      </c>
      <c r="I80" s="13"/>
      <c r="K80" s="12"/>
      <c r="L80" s="48" t="str">
        <f t="shared" si="1"/>
        <v/>
      </c>
      <c r="M80" s="12"/>
      <c r="N80" s="12"/>
    </row>
    <row r="81" spans="2:14" s="31" customFormat="1" ht="20.100000000000001" customHeight="1" x14ac:dyDescent="0.25">
      <c r="B81" s="87"/>
      <c r="C81" s="33" t="s">
        <v>37</v>
      </c>
      <c r="D81" s="33"/>
      <c r="E81" s="34"/>
      <c r="F81" s="35"/>
      <c r="G81" s="34"/>
      <c r="H81" s="36">
        <f>H72</f>
        <v>0</v>
      </c>
      <c r="I81" s="37"/>
      <c r="K81" s="34"/>
      <c r="L81" s="48" t="str">
        <f t="shared" ref="L81:L122" si="4">IF(K81="","",K81*F81)</f>
        <v/>
      </c>
      <c r="M81" s="34"/>
      <c r="N81" s="34"/>
    </row>
    <row r="82" spans="2:14" x14ac:dyDescent="0.25">
      <c r="B82" s="53"/>
      <c r="C82" s="15"/>
      <c r="D82" s="15"/>
      <c r="E82" s="23"/>
      <c r="F82" s="23"/>
      <c r="G82" s="41"/>
      <c r="H82" s="18"/>
      <c r="I82" s="44"/>
      <c r="K82" s="41"/>
      <c r="L82" s="48" t="str">
        <f t="shared" si="4"/>
        <v/>
      </c>
      <c r="M82" s="41"/>
      <c r="N82" s="41"/>
    </row>
    <row r="83" spans="2:14" x14ac:dyDescent="0.25">
      <c r="B83" s="53" t="s">
        <v>246</v>
      </c>
      <c r="C83" s="15" t="s">
        <v>247</v>
      </c>
      <c r="D83" s="15"/>
      <c r="E83" s="23"/>
      <c r="F83" s="23"/>
      <c r="G83" s="41"/>
      <c r="H83" s="18"/>
      <c r="I83" s="44"/>
      <c r="K83" s="41"/>
      <c r="L83" s="48" t="str">
        <f t="shared" si="4"/>
        <v/>
      </c>
      <c r="M83" s="41"/>
      <c r="N83" s="41"/>
    </row>
    <row r="84" spans="2:14" x14ac:dyDescent="0.25">
      <c r="B84" s="53"/>
      <c r="C84" s="15"/>
      <c r="D84" s="15"/>
      <c r="E84" s="23"/>
      <c r="F84" s="23"/>
      <c r="G84" s="41"/>
      <c r="H84" s="18" t="str">
        <f t="shared" ref="H84:H98" si="5">IF(E84="","",F84*G84)</f>
        <v/>
      </c>
      <c r="I84" s="44"/>
      <c r="K84" s="41"/>
      <c r="L84" s="48" t="str">
        <f t="shared" si="4"/>
        <v/>
      </c>
      <c r="M84" s="41"/>
      <c r="N84" s="41"/>
    </row>
    <row r="85" spans="2:14" x14ac:dyDescent="0.25">
      <c r="B85" s="53" t="s">
        <v>248</v>
      </c>
      <c r="C85" s="15" t="s">
        <v>249</v>
      </c>
      <c r="D85" s="15"/>
      <c r="E85" s="23" t="s">
        <v>44</v>
      </c>
      <c r="F85" s="23">
        <v>5</v>
      </c>
      <c r="G85" s="41"/>
      <c r="H85" s="18">
        <f t="shared" si="5"/>
        <v>0</v>
      </c>
      <c r="I85" s="44"/>
      <c r="K85" s="41"/>
      <c r="L85" s="48" t="str">
        <f t="shared" si="4"/>
        <v/>
      </c>
      <c r="M85" s="41"/>
      <c r="N85" s="41"/>
    </row>
    <row r="86" spans="2:14" x14ac:dyDescent="0.25">
      <c r="B86" s="53"/>
      <c r="C86" s="15"/>
      <c r="D86" s="15"/>
      <c r="E86" s="23"/>
      <c r="F86" s="23"/>
      <c r="G86" s="41"/>
      <c r="H86" s="18" t="str">
        <f t="shared" si="5"/>
        <v/>
      </c>
      <c r="I86" s="44"/>
      <c r="K86" s="41"/>
      <c r="L86" s="48" t="str">
        <f t="shared" si="4"/>
        <v/>
      </c>
      <c r="M86" s="41"/>
      <c r="N86" s="41"/>
    </row>
    <row r="87" spans="2:14" x14ac:dyDescent="0.25">
      <c r="B87" s="53" t="s">
        <v>250</v>
      </c>
      <c r="C87" s="15" t="s">
        <v>251</v>
      </c>
      <c r="D87" s="15"/>
      <c r="E87" s="23" t="s">
        <v>44</v>
      </c>
      <c r="F87" s="23">
        <v>5</v>
      </c>
      <c r="G87" s="41"/>
      <c r="H87" s="18">
        <f t="shared" si="5"/>
        <v>0</v>
      </c>
      <c r="I87" s="44"/>
      <c r="K87" s="41"/>
      <c r="L87" s="48" t="str">
        <f t="shared" si="4"/>
        <v/>
      </c>
      <c r="M87" s="41"/>
      <c r="N87" s="41"/>
    </row>
    <row r="88" spans="2:14" x14ac:dyDescent="0.25">
      <c r="B88" s="53"/>
      <c r="C88" s="15"/>
      <c r="D88" s="15"/>
      <c r="E88" s="23"/>
      <c r="F88" s="23"/>
      <c r="G88" s="41"/>
      <c r="H88" s="18" t="str">
        <f t="shared" si="5"/>
        <v/>
      </c>
      <c r="I88" s="44"/>
      <c r="K88" s="41"/>
      <c r="L88" s="48" t="str">
        <f t="shared" si="4"/>
        <v/>
      </c>
      <c r="M88" s="41"/>
      <c r="N88" s="41"/>
    </row>
    <row r="89" spans="2:14" ht="26.4" x14ac:dyDescent="0.25">
      <c r="B89" s="53" t="s">
        <v>255</v>
      </c>
      <c r="C89" s="15" t="s">
        <v>252</v>
      </c>
      <c r="D89" s="15"/>
      <c r="E89" s="23"/>
      <c r="F89" s="23"/>
      <c r="G89" s="41"/>
      <c r="H89" s="18" t="str">
        <f t="shared" si="5"/>
        <v/>
      </c>
      <c r="I89" s="44"/>
      <c r="K89" s="41"/>
      <c r="L89" s="48" t="str">
        <f t="shared" si="4"/>
        <v/>
      </c>
      <c r="M89" s="41"/>
      <c r="N89" s="41"/>
    </row>
    <row r="90" spans="2:14" x14ac:dyDescent="0.25">
      <c r="B90" s="53"/>
      <c r="C90" s="15"/>
      <c r="D90" s="15"/>
      <c r="E90" s="23"/>
      <c r="F90" s="23"/>
      <c r="G90" s="41"/>
      <c r="H90" s="18" t="str">
        <f t="shared" si="5"/>
        <v/>
      </c>
      <c r="I90" s="44"/>
      <c r="K90" s="41"/>
      <c r="L90" s="48" t="str">
        <f t="shared" si="4"/>
        <v/>
      </c>
      <c r="M90" s="41"/>
      <c r="N90" s="41"/>
    </row>
    <row r="91" spans="2:14" x14ac:dyDescent="0.25">
      <c r="B91" s="53" t="s">
        <v>253</v>
      </c>
      <c r="C91" s="15" t="s">
        <v>256</v>
      </c>
      <c r="D91" s="15"/>
      <c r="E91" s="23" t="s">
        <v>648</v>
      </c>
      <c r="F91" s="23">
        <v>25000</v>
      </c>
      <c r="G91" s="41">
        <v>1</v>
      </c>
      <c r="H91" s="18">
        <f t="shared" si="5"/>
        <v>25000</v>
      </c>
      <c r="I91" s="44"/>
      <c r="K91" s="41"/>
      <c r="L91" s="48" t="str">
        <f t="shared" si="4"/>
        <v/>
      </c>
      <c r="M91" s="41"/>
      <c r="N91" s="41"/>
    </row>
    <row r="92" spans="2:14" x14ac:dyDescent="0.25">
      <c r="B92" s="53"/>
      <c r="C92" s="15"/>
      <c r="D92" s="15"/>
      <c r="E92" s="23"/>
      <c r="F92" s="23"/>
      <c r="G92" s="41"/>
      <c r="H92" s="18" t="str">
        <f t="shared" si="5"/>
        <v/>
      </c>
      <c r="I92" s="44"/>
      <c r="K92" s="41"/>
      <c r="L92" s="48" t="str">
        <f t="shared" si="4"/>
        <v/>
      </c>
      <c r="M92" s="41"/>
      <c r="N92" s="41"/>
    </row>
    <row r="93" spans="2:14" ht="26.4" x14ac:dyDescent="0.25">
      <c r="B93" s="53" t="s">
        <v>254</v>
      </c>
      <c r="C93" s="15" t="s">
        <v>257</v>
      </c>
      <c r="D93" s="15"/>
      <c r="E93" s="23" t="s">
        <v>36</v>
      </c>
      <c r="F93" s="198">
        <f>H91</f>
        <v>25000</v>
      </c>
      <c r="G93" s="199"/>
      <c r="H93" s="18">
        <f t="shared" si="5"/>
        <v>0</v>
      </c>
      <c r="I93" s="44"/>
      <c r="K93" s="199"/>
      <c r="L93" s="48" t="str">
        <f t="shared" si="4"/>
        <v/>
      </c>
      <c r="M93" s="199"/>
      <c r="N93" s="199"/>
    </row>
    <row r="94" spans="2:14" x14ac:dyDescent="0.25">
      <c r="B94" s="53"/>
      <c r="C94" s="15"/>
      <c r="D94" s="15"/>
      <c r="E94" s="23"/>
      <c r="F94" s="23"/>
      <c r="G94" s="41"/>
      <c r="H94" s="18" t="str">
        <f t="shared" si="5"/>
        <v/>
      </c>
      <c r="I94" s="44"/>
      <c r="K94" s="41"/>
      <c r="L94" s="48" t="str">
        <f t="shared" si="4"/>
        <v/>
      </c>
      <c r="M94" s="41"/>
      <c r="N94" s="41"/>
    </row>
    <row r="95" spans="2:14" x14ac:dyDescent="0.25">
      <c r="B95" s="53"/>
      <c r="C95" s="15"/>
      <c r="D95" s="15"/>
      <c r="E95" s="23"/>
      <c r="F95" s="23"/>
      <c r="G95" s="41"/>
      <c r="H95" s="18" t="str">
        <f t="shared" si="5"/>
        <v/>
      </c>
      <c r="I95" s="44"/>
      <c r="K95" s="41"/>
      <c r="L95" s="48" t="str">
        <f t="shared" si="4"/>
        <v/>
      </c>
      <c r="M95" s="41"/>
      <c r="N95" s="41"/>
    </row>
    <row r="96" spans="2:14" x14ac:dyDescent="0.25">
      <c r="B96" s="53"/>
      <c r="C96" s="29"/>
      <c r="D96" s="147"/>
      <c r="E96" s="23"/>
      <c r="F96" s="23"/>
      <c r="G96" s="41"/>
      <c r="H96" s="18" t="str">
        <f t="shared" si="5"/>
        <v/>
      </c>
      <c r="I96" s="44"/>
      <c r="K96" s="41"/>
      <c r="L96" s="48" t="str">
        <f t="shared" si="4"/>
        <v/>
      </c>
      <c r="M96" s="41"/>
      <c r="N96" s="41"/>
    </row>
    <row r="97" spans="2:14" x14ac:dyDescent="0.25">
      <c r="B97" s="53"/>
      <c r="C97" s="29"/>
      <c r="D97" s="147"/>
      <c r="E97" s="23"/>
      <c r="F97" s="23"/>
      <c r="G97" s="41"/>
      <c r="H97" s="18" t="str">
        <f t="shared" si="5"/>
        <v/>
      </c>
      <c r="I97" s="44"/>
      <c r="K97" s="41"/>
      <c r="L97" s="48" t="str">
        <f t="shared" si="4"/>
        <v/>
      </c>
      <c r="M97" s="41"/>
      <c r="N97" s="41"/>
    </row>
    <row r="98" spans="2:14" x14ac:dyDescent="0.25">
      <c r="B98" s="53"/>
      <c r="C98" s="29"/>
      <c r="D98" s="147"/>
      <c r="E98" s="23"/>
      <c r="F98" s="23"/>
      <c r="G98" s="41"/>
      <c r="H98" s="18" t="str">
        <f t="shared" si="5"/>
        <v/>
      </c>
      <c r="I98" s="44"/>
      <c r="K98" s="41"/>
      <c r="L98" s="48" t="str">
        <f t="shared" si="4"/>
        <v/>
      </c>
      <c r="M98" s="41"/>
      <c r="N98" s="41"/>
    </row>
    <row r="99" spans="2:14" x14ac:dyDescent="0.25">
      <c r="B99" s="53"/>
      <c r="C99" s="29"/>
      <c r="D99" s="147"/>
      <c r="E99" s="23"/>
      <c r="F99" s="40"/>
      <c r="G99" s="41"/>
      <c r="H99" s="18"/>
      <c r="K99" s="41"/>
      <c r="L99" s="48" t="str">
        <f t="shared" si="4"/>
        <v/>
      </c>
      <c r="M99" s="41"/>
      <c r="N99" s="41"/>
    </row>
    <row r="100" spans="2:14" x14ac:dyDescent="0.25">
      <c r="B100" s="53"/>
      <c r="C100" s="29"/>
      <c r="D100" s="147"/>
      <c r="E100" s="23"/>
      <c r="F100" s="40"/>
      <c r="G100" s="41"/>
      <c r="H100" s="18"/>
      <c r="K100" s="41"/>
      <c r="L100" s="48" t="str">
        <f t="shared" si="4"/>
        <v/>
      </c>
      <c r="M100" s="41"/>
      <c r="N100" s="41"/>
    </row>
    <row r="101" spans="2:14" x14ac:dyDescent="0.25">
      <c r="B101" s="53"/>
      <c r="C101" s="15"/>
      <c r="D101" s="15"/>
      <c r="E101" s="23"/>
      <c r="F101" s="23"/>
      <c r="G101" s="41"/>
      <c r="H101" s="18"/>
      <c r="I101" s="44"/>
      <c r="K101" s="41"/>
      <c r="L101" s="48" t="str">
        <f t="shared" si="4"/>
        <v/>
      </c>
      <c r="M101" s="41"/>
      <c r="N101" s="41"/>
    </row>
    <row r="102" spans="2:14" x14ac:dyDescent="0.25">
      <c r="B102" s="53"/>
      <c r="C102" s="29"/>
      <c r="D102" s="147"/>
      <c r="E102" s="23"/>
      <c r="F102" s="23"/>
      <c r="G102" s="41"/>
      <c r="H102" s="18"/>
      <c r="I102" s="44"/>
      <c r="K102" s="41"/>
      <c r="L102" s="48" t="str">
        <f t="shared" si="4"/>
        <v/>
      </c>
      <c r="M102" s="41"/>
      <c r="N102" s="41"/>
    </row>
    <row r="103" spans="2:14" x14ac:dyDescent="0.25">
      <c r="B103" s="53"/>
      <c r="C103" s="29"/>
      <c r="D103" s="147"/>
      <c r="E103" s="23"/>
      <c r="F103" s="40"/>
      <c r="G103" s="41"/>
      <c r="H103" s="18"/>
      <c r="I103" s="52"/>
      <c r="K103" s="41"/>
      <c r="L103" s="48" t="str">
        <f t="shared" si="4"/>
        <v/>
      </c>
      <c r="M103" s="41"/>
      <c r="N103" s="41"/>
    </row>
    <row r="104" spans="2:14" x14ac:dyDescent="0.25">
      <c r="B104" s="53"/>
      <c r="C104" s="29"/>
      <c r="D104" s="147"/>
      <c r="E104" s="23"/>
      <c r="F104" s="40"/>
      <c r="G104" s="41"/>
      <c r="H104" s="18"/>
      <c r="I104" s="52"/>
      <c r="K104" s="41"/>
      <c r="L104" s="48" t="str">
        <f t="shared" si="4"/>
        <v/>
      </c>
      <c r="M104" s="41"/>
      <c r="N104" s="41"/>
    </row>
    <row r="105" spans="2:14" x14ac:dyDescent="0.25">
      <c r="B105" s="53"/>
      <c r="C105" s="28"/>
      <c r="D105" s="146"/>
      <c r="E105" s="23"/>
      <c r="F105" s="40"/>
      <c r="G105" s="41"/>
      <c r="H105" s="18"/>
      <c r="K105" s="41"/>
      <c r="L105" s="48" t="str">
        <f t="shared" si="4"/>
        <v/>
      </c>
      <c r="M105" s="41"/>
      <c r="N105" s="41"/>
    </row>
    <row r="106" spans="2:14" x14ac:dyDescent="0.25">
      <c r="B106" s="53"/>
      <c r="C106" s="28"/>
      <c r="D106" s="146"/>
      <c r="E106" s="23"/>
      <c r="F106" s="40"/>
      <c r="G106" s="41"/>
      <c r="H106" s="18"/>
      <c r="K106" s="41"/>
      <c r="L106" s="48" t="str">
        <f t="shared" si="4"/>
        <v/>
      </c>
      <c r="M106" s="41"/>
      <c r="N106" s="41"/>
    </row>
    <row r="107" spans="2:14" x14ac:dyDescent="0.25">
      <c r="B107" s="53"/>
      <c r="C107" s="28"/>
      <c r="D107" s="146"/>
      <c r="E107" s="23"/>
      <c r="F107" s="23"/>
      <c r="G107" s="41"/>
      <c r="H107" s="18"/>
      <c r="I107" s="44"/>
      <c r="K107" s="41"/>
      <c r="L107" s="48" t="str">
        <f t="shared" si="4"/>
        <v/>
      </c>
      <c r="M107" s="41"/>
      <c r="N107" s="41"/>
    </row>
    <row r="108" spans="2:14" x14ac:dyDescent="0.25">
      <c r="B108" s="53"/>
      <c r="C108" s="28"/>
      <c r="D108" s="146"/>
      <c r="E108" s="23"/>
      <c r="F108" s="23"/>
      <c r="G108" s="41"/>
      <c r="H108" s="18"/>
      <c r="I108" s="44"/>
      <c r="K108" s="41"/>
      <c r="L108" s="48" t="str">
        <f t="shared" si="4"/>
        <v/>
      </c>
      <c r="M108" s="41"/>
      <c r="N108" s="41"/>
    </row>
    <row r="109" spans="2:14" x14ac:dyDescent="0.25">
      <c r="B109" s="53"/>
      <c r="C109" s="15"/>
      <c r="D109" s="15"/>
      <c r="E109" s="23"/>
      <c r="F109" s="23"/>
      <c r="G109" s="41"/>
      <c r="H109" s="18"/>
      <c r="I109" s="44"/>
      <c r="K109" s="41"/>
      <c r="L109" s="48" t="str">
        <f t="shared" si="4"/>
        <v/>
      </c>
      <c r="M109" s="41"/>
      <c r="N109" s="41"/>
    </row>
    <row r="110" spans="2:14" x14ac:dyDescent="0.25">
      <c r="B110" s="53"/>
      <c r="C110" s="15"/>
      <c r="D110" s="15"/>
      <c r="E110" s="23"/>
      <c r="F110" s="23"/>
      <c r="G110" s="41"/>
      <c r="H110" s="18"/>
      <c r="I110" s="44"/>
      <c r="K110" s="41"/>
      <c r="L110" s="48" t="str">
        <f t="shared" si="4"/>
        <v/>
      </c>
      <c r="M110" s="41"/>
      <c r="N110" s="41"/>
    </row>
    <row r="111" spans="2:14" x14ac:dyDescent="0.25">
      <c r="B111" s="53"/>
      <c r="C111" s="15"/>
      <c r="D111" s="15"/>
      <c r="E111" s="23"/>
      <c r="F111" s="23"/>
      <c r="G111" s="41"/>
      <c r="H111" s="18"/>
      <c r="I111" s="44"/>
      <c r="K111" s="41"/>
      <c r="L111" s="48" t="str">
        <f t="shared" si="4"/>
        <v/>
      </c>
      <c r="M111" s="41"/>
      <c r="N111" s="41"/>
    </row>
    <row r="112" spans="2:14" x14ac:dyDescent="0.25">
      <c r="B112" s="53"/>
      <c r="C112" s="28"/>
      <c r="D112" s="146"/>
      <c r="E112" s="23"/>
      <c r="F112" s="23"/>
      <c r="G112" s="41"/>
      <c r="H112" s="18"/>
      <c r="I112" s="44"/>
      <c r="K112" s="41"/>
      <c r="L112" s="48" t="str">
        <f t="shared" si="4"/>
        <v/>
      </c>
      <c r="M112" s="41"/>
      <c r="N112" s="41"/>
    </row>
    <row r="113" spans="2:14" x14ac:dyDescent="0.25">
      <c r="B113" s="53"/>
      <c r="C113" s="15"/>
      <c r="D113" s="15"/>
      <c r="E113" s="23"/>
      <c r="F113" s="23"/>
      <c r="G113" s="41"/>
      <c r="H113" s="18"/>
      <c r="I113" s="44"/>
      <c r="K113" s="41"/>
      <c r="L113" s="48" t="str">
        <f t="shared" si="4"/>
        <v/>
      </c>
      <c r="M113" s="41"/>
      <c r="N113" s="41"/>
    </row>
    <row r="114" spans="2:14" x14ac:dyDescent="0.25">
      <c r="B114" s="53"/>
      <c r="C114" s="15"/>
      <c r="D114" s="15"/>
      <c r="E114" s="23"/>
      <c r="F114" s="23"/>
      <c r="G114" s="41"/>
      <c r="H114" s="18"/>
      <c r="I114" s="44"/>
      <c r="K114" s="41"/>
      <c r="L114" s="48" t="str">
        <f t="shared" si="4"/>
        <v/>
      </c>
      <c r="M114" s="41"/>
      <c r="N114" s="41"/>
    </row>
    <row r="115" spans="2:14" x14ac:dyDescent="0.25">
      <c r="B115" s="53"/>
      <c r="C115" s="15"/>
      <c r="D115" s="15"/>
      <c r="E115" s="23"/>
      <c r="F115" s="23"/>
      <c r="G115" s="41"/>
      <c r="H115" s="18"/>
      <c r="I115" s="44"/>
      <c r="K115" s="41"/>
      <c r="L115" s="48" t="str">
        <f t="shared" si="4"/>
        <v/>
      </c>
      <c r="M115" s="41"/>
      <c r="N115" s="41"/>
    </row>
    <row r="116" spans="2:14" x14ac:dyDescent="0.25">
      <c r="B116" s="53"/>
      <c r="C116" s="15"/>
      <c r="D116" s="15"/>
      <c r="E116" s="23"/>
      <c r="F116" s="23"/>
      <c r="G116" s="41"/>
      <c r="H116" s="18"/>
      <c r="I116" s="44"/>
      <c r="K116" s="41"/>
      <c r="L116" s="48" t="str">
        <f t="shared" si="4"/>
        <v/>
      </c>
      <c r="M116" s="41"/>
      <c r="N116" s="41"/>
    </row>
    <row r="117" spans="2:14" x14ac:dyDescent="0.25">
      <c r="B117" s="53"/>
      <c r="C117" s="15"/>
      <c r="D117" s="15"/>
      <c r="E117" s="23"/>
      <c r="F117" s="23"/>
      <c r="G117" s="41"/>
      <c r="H117" s="18"/>
      <c r="I117" s="44"/>
      <c r="K117" s="41"/>
      <c r="L117" s="48" t="str">
        <f t="shared" si="4"/>
        <v/>
      </c>
      <c r="M117" s="41"/>
      <c r="N117" s="41"/>
    </row>
    <row r="118" spans="2:14" x14ac:dyDescent="0.25">
      <c r="B118" s="53"/>
      <c r="C118" s="15"/>
      <c r="D118" s="15"/>
      <c r="E118" s="23"/>
      <c r="F118" s="23"/>
      <c r="G118" s="41"/>
      <c r="H118" s="18"/>
      <c r="I118" s="44"/>
      <c r="K118" s="41"/>
      <c r="L118" s="48" t="str">
        <f t="shared" si="4"/>
        <v/>
      </c>
      <c r="M118" s="41"/>
      <c r="N118" s="41"/>
    </row>
    <row r="119" spans="2:14" x14ac:dyDescent="0.25">
      <c r="B119" s="53"/>
      <c r="C119" s="15"/>
      <c r="D119" s="15"/>
      <c r="E119" s="23"/>
      <c r="F119" s="23"/>
      <c r="G119" s="41"/>
      <c r="H119" s="18"/>
      <c r="I119" s="44"/>
      <c r="K119" s="41"/>
      <c r="L119" s="48" t="str">
        <f t="shared" si="4"/>
        <v/>
      </c>
      <c r="M119" s="41"/>
      <c r="N119" s="41"/>
    </row>
    <row r="120" spans="2:14" x14ac:dyDescent="0.25">
      <c r="B120" s="53"/>
      <c r="C120" s="15"/>
      <c r="D120" s="15"/>
      <c r="E120" s="23"/>
      <c r="F120" s="23"/>
      <c r="G120" s="41"/>
      <c r="H120" s="18"/>
      <c r="I120" s="44"/>
      <c r="K120" s="41"/>
      <c r="L120" s="48" t="str">
        <f t="shared" si="4"/>
        <v/>
      </c>
      <c r="M120" s="41"/>
      <c r="N120" s="41"/>
    </row>
    <row r="121" spans="2:14" x14ac:dyDescent="0.25">
      <c r="B121" s="53"/>
      <c r="C121" s="15"/>
      <c r="D121" s="15"/>
      <c r="E121" s="23"/>
      <c r="F121" s="23"/>
      <c r="G121" s="41"/>
      <c r="H121" s="18"/>
      <c r="I121" s="44"/>
      <c r="K121" s="41"/>
      <c r="L121" s="48" t="str">
        <f t="shared" si="4"/>
        <v/>
      </c>
      <c r="M121" s="41"/>
      <c r="N121" s="41"/>
    </row>
    <row r="122" spans="2:14" x14ac:dyDescent="0.25">
      <c r="B122" s="53"/>
      <c r="C122" s="15"/>
      <c r="D122" s="15"/>
      <c r="E122" s="23"/>
      <c r="F122" s="23"/>
      <c r="G122" s="41"/>
      <c r="H122" s="18"/>
      <c r="I122" s="44"/>
      <c r="K122" s="41"/>
      <c r="L122" s="48" t="str">
        <f t="shared" si="4"/>
        <v/>
      </c>
      <c r="M122" s="41"/>
      <c r="N122" s="41"/>
    </row>
    <row r="123" spans="2:14" s="31" customFormat="1" ht="20.100000000000001" customHeight="1" x14ac:dyDescent="0.25">
      <c r="B123" s="87" t="str">
        <f>$B$11</f>
        <v>C1.5</v>
      </c>
      <c r="C123" s="33" t="str">
        <f>"TOTAL CARRIED FORWARD"&amp;IF(H123=H$1," TO SUMMARY (Page C"&amp;Page_A&amp;")","")</f>
        <v>TOTAL CARRIED FORWARD TO SUMMARY (Page C57)</v>
      </c>
      <c r="D123" s="33"/>
      <c r="E123" s="34"/>
      <c r="F123" s="35"/>
      <c r="G123" s="34"/>
      <c r="H123" s="36">
        <f>SUM(H81:H122)</f>
        <v>25000</v>
      </c>
      <c r="I123" s="37"/>
      <c r="K123" s="34"/>
      <c r="L123" s="48">
        <f>SUM(L9:L122)</f>
        <v>2525543.6800000002</v>
      </c>
      <c r="M123" s="34"/>
      <c r="N123" s="34"/>
    </row>
  </sheetData>
  <mergeCells count="11">
    <mergeCell ref="F2:H2"/>
    <mergeCell ref="B6:G8"/>
    <mergeCell ref="H5:H8"/>
    <mergeCell ref="B5:G5"/>
    <mergeCell ref="B76:G76"/>
    <mergeCell ref="H76:H79"/>
    <mergeCell ref="B77:G79"/>
    <mergeCell ref="B73:E73"/>
    <mergeCell ref="F73:H75"/>
    <mergeCell ref="B74:E74"/>
    <mergeCell ref="B75:E75"/>
  </mergeCells>
  <phoneticPr fontId="14" type="noConversion"/>
  <pageMargins left="0.62992125984251968" right="0.43307086614173229" top="0.62992125984251968" bottom="0.55118110236220474" header="0.51181102362204722" footer="0.31496062992125984"/>
  <pageSetup paperSize="9" scale="76"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rowBreaks count="1" manualBreakCount="1">
    <brk id="7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8E570-612F-426B-9B9B-D47207EBA732}">
  <sheetPr codeName="Sheet7">
    <tabColor rgb="FF92D050"/>
  </sheetPr>
  <dimension ref="B1:N67"/>
  <sheetViews>
    <sheetView view="pageBreakPreview" topLeftCell="A13" zoomScaleNormal="125" zoomScaleSheetLayoutView="100" zoomScalePageLayoutView="125" workbookViewId="0">
      <selection activeCell="L18" sqref="L18"/>
    </sheetView>
  </sheetViews>
  <sheetFormatPr defaultColWidth="6.6640625" defaultRowHeight="13.2" x14ac:dyDescent="0.25"/>
  <cols>
    <col min="1" max="1" width="0.6640625" style="1" customWidth="1"/>
    <col min="2" max="2" width="11.5546875" style="38" customWidth="1"/>
    <col min="3" max="3" width="45.5546875" style="3" customWidth="1"/>
    <col min="4" max="4" width="3.3320312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0" width="6.6640625" style="1"/>
    <col min="11" max="14" width="15.5546875" style="1" customWidth="1"/>
    <col min="15" max="16384" width="6.6640625" style="1"/>
  </cols>
  <sheetData>
    <row r="1" spans="2:14" x14ac:dyDescent="0.25">
      <c r="H1" s="234">
        <f>MAX(H9:H500)</f>
        <v>0</v>
      </c>
    </row>
    <row r="2" spans="2:14" x14ac:dyDescent="0.25">
      <c r="B2" s="2" t="str">
        <f>Client1</f>
        <v>Province of KwaZulu-Natal</v>
      </c>
      <c r="F2" s="510" t="str">
        <f>"Contract No. "&amp;ContractNo</f>
        <v>Contract No. ZNB02215/00000/00/HOD/INF/23/T</v>
      </c>
      <c r="G2" s="510"/>
      <c r="H2" s="510"/>
      <c r="K2" s="402"/>
      <c r="L2" s="402">
        <f>MAX(L3:L245)</f>
        <v>63712</v>
      </c>
      <c r="M2" s="402"/>
      <c r="N2" s="403"/>
    </row>
    <row r="3" spans="2:14" x14ac:dyDescent="0.25">
      <c r="B3" s="96" t="str">
        <f>Client2</f>
        <v>Department of Transport</v>
      </c>
      <c r="K3" s="1" t="s">
        <v>1421</v>
      </c>
      <c r="L3" s="1" t="s">
        <v>1422</v>
      </c>
      <c r="M3" s="1" t="s">
        <v>1423</v>
      </c>
      <c r="N3" s="1" t="s">
        <v>1424</v>
      </c>
    </row>
    <row r="4" spans="2:14" x14ac:dyDescent="0.25">
      <c r="B4" s="84"/>
      <c r="C4" s="84"/>
      <c r="D4" s="84"/>
      <c r="E4" s="85"/>
      <c r="F4" s="85"/>
      <c r="G4" s="86"/>
      <c r="H4" s="98"/>
      <c r="K4" s="86"/>
      <c r="L4" s="86"/>
      <c r="M4" s="86"/>
      <c r="N4" s="86"/>
    </row>
    <row r="5" spans="2:14" x14ac:dyDescent="0.25">
      <c r="B5" s="507" t="s">
        <v>8</v>
      </c>
      <c r="C5" s="508"/>
      <c r="D5" s="508"/>
      <c r="E5" s="508"/>
      <c r="F5" s="508"/>
      <c r="G5" s="508"/>
      <c r="H5" s="504" t="str">
        <f>"CHAPTER "&amp;B11</f>
        <v>CHAPTER C1.7</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05"/>
      <c r="I6" s="9"/>
    </row>
    <row r="7" spans="2:14" ht="12.75" customHeight="1" x14ac:dyDescent="0.25">
      <c r="B7" s="500"/>
      <c r="C7" s="501"/>
      <c r="D7" s="501"/>
      <c r="E7" s="501"/>
      <c r="F7" s="501"/>
      <c r="G7" s="501"/>
      <c r="H7" s="505"/>
      <c r="I7" s="9"/>
    </row>
    <row r="8" spans="2:14" ht="7.5" customHeight="1" x14ac:dyDescent="0.25">
      <c r="B8" s="502"/>
      <c r="C8" s="503"/>
      <c r="D8" s="503"/>
      <c r="E8" s="503"/>
      <c r="F8" s="503"/>
      <c r="G8" s="503"/>
      <c r="H8" s="506"/>
      <c r="I8" s="9"/>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53"/>
      <c r="C10" s="15"/>
      <c r="D10" s="15"/>
      <c r="E10" s="16"/>
      <c r="F10" s="16"/>
      <c r="G10" s="17"/>
      <c r="H10" s="26" t="str">
        <f t="shared" ref="H10:H25" si="0">IF(E10="","",F10*G10)</f>
        <v/>
      </c>
      <c r="I10" s="19"/>
      <c r="K10" s="17"/>
      <c r="L10" s="17"/>
      <c r="M10" s="17"/>
      <c r="N10" s="17"/>
    </row>
    <row r="11" spans="2:14" x14ac:dyDescent="0.25">
      <c r="B11" s="80" t="s">
        <v>282</v>
      </c>
      <c r="C11" s="21" t="s">
        <v>283</v>
      </c>
      <c r="D11" s="21"/>
      <c r="E11" s="23"/>
      <c r="F11" s="23"/>
      <c r="G11" s="43"/>
      <c r="H11" s="26" t="str">
        <f t="shared" si="0"/>
        <v/>
      </c>
      <c r="I11" s="44"/>
      <c r="K11" s="43"/>
      <c r="L11" s="43"/>
      <c r="M11" s="43"/>
      <c r="N11" s="43"/>
    </row>
    <row r="12" spans="2:14" x14ac:dyDescent="0.25">
      <c r="B12" s="53"/>
      <c r="C12" s="15"/>
      <c r="D12" s="15"/>
      <c r="E12" s="23"/>
      <c r="F12" s="23"/>
      <c r="G12" s="43"/>
      <c r="H12" s="26" t="str">
        <f t="shared" si="0"/>
        <v/>
      </c>
      <c r="I12" s="44"/>
      <c r="K12" s="43"/>
      <c r="L12" s="43"/>
      <c r="M12" s="43"/>
      <c r="N12" s="43"/>
    </row>
    <row r="13" spans="2:14" x14ac:dyDescent="0.25">
      <c r="B13" s="53" t="s">
        <v>284</v>
      </c>
      <c r="C13" s="15" t="s">
        <v>285</v>
      </c>
      <c r="D13" s="15"/>
      <c r="E13" s="23"/>
      <c r="F13" s="23"/>
      <c r="G13" s="43"/>
      <c r="H13" s="26" t="str">
        <f t="shared" si="0"/>
        <v/>
      </c>
      <c r="I13" s="44"/>
      <c r="K13" s="43"/>
      <c r="L13" s="43"/>
      <c r="M13" s="43"/>
      <c r="N13" s="43"/>
    </row>
    <row r="14" spans="2:14" x14ac:dyDescent="0.25">
      <c r="B14" s="53"/>
      <c r="C14" s="15"/>
      <c r="D14" s="15"/>
      <c r="E14" s="23"/>
      <c r="F14" s="23"/>
      <c r="G14" s="43"/>
      <c r="H14" s="26" t="str">
        <f t="shared" si="0"/>
        <v/>
      </c>
      <c r="I14" s="44"/>
      <c r="K14" s="43"/>
      <c r="L14" s="43"/>
      <c r="M14" s="43"/>
      <c r="N14" s="43"/>
    </row>
    <row r="15" spans="2:14" ht="26.4" x14ac:dyDescent="0.25">
      <c r="B15" s="53" t="s">
        <v>286</v>
      </c>
      <c r="C15" s="15" t="s">
        <v>1082</v>
      </c>
      <c r="D15" s="15"/>
      <c r="E15" s="23" t="s">
        <v>34</v>
      </c>
      <c r="F15" s="24">
        <v>5000</v>
      </c>
      <c r="G15" s="25"/>
      <c r="H15" s="26">
        <f t="shared" si="0"/>
        <v>0</v>
      </c>
      <c r="I15" s="45"/>
      <c r="K15" s="25">
        <f>5%*G15</f>
        <v>0</v>
      </c>
      <c r="L15" s="48">
        <f>IF(K15="","",K15*F15)</f>
        <v>0</v>
      </c>
      <c r="M15" s="25"/>
      <c r="N15" s="25"/>
    </row>
    <row r="16" spans="2:14" x14ac:dyDescent="0.25">
      <c r="B16" s="53"/>
      <c r="C16" s="15"/>
      <c r="D16" s="15"/>
      <c r="E16" s="23"/>
      <c r="F16" s="24"/>
      <c r="G16" s="25"/>
      <c r="H16" s="26" t="str">
        <f t="shared" si="0"/>
        <v/>
      </c>
      <c r="I16" s="45"/>
      <c r="K16" s="25"/>
      <c r="L16" s="25"/>
      <c r="M16" s="25"/>
      <c r="N16" s="25"/>
    </row>
    <row r="17" spans="2:14" ht="26.4" x14ac:dyDescent="0.25">
      <c r="B17" s="53" t="s">
        <v>287</v>
      </c>
      <c r="C17" s="15" t="s">
        <v>289</v>
      </c>
      <c r="D17" s="15"/>
      <c r="E17" s="23" t="s">
        <v>34</v>
      </c>
      <c r="F17" s="24">
        <v>2000</v>
      </c>
      <c r="G17" s="25"/>
      <c r="H17" s="26">
        <f t="shared" si="0"/>
        <v>0</v>
      </c>
      <c r="I17" s="45"/>
      <c r="K17" s="25">
        <f>5%*G17</f>
        <v>0</v>
      </c>
      <c r="L17" s="48">
        <f>IF(K17="","",K17*F17)</f>
        <v>0</v>
      </c>
      <c r="M17" s="25"/>
      <c r="N17" s="25"/>
    </row>
    <row r="18" spans="2:14" x14ac:dyDescent="0.25">
      <c r="B18" s="53"/>
      <c r="C18" s="15"/>
      <c r="D18" s="15"/>
      <c r="E18" s="23"/>
      <c r="F18" s="24"/>
      <c r="G18" s="25"/>
      <c r="H18" s="26" t="str">
        <f t="shared" si="0"/>
        <v/>
      </c>
      <c r="I18" s="45"/>
      <c r="K18" s="25"/>
      <c r="L18" s="48" t="str">
        <f>IF(K18="","",K18*F18)</f>
        <v/>
      </c>
      <c r="M18" s="25"/>
      <c r="N18" s="25"/>
    </row>
    <row r="19" spans="2:14" ht="39.6" x14ac:dyDescent="0.25">
      <c r="B19" s="53" t="s">
        <v>288</v>
      </c>
      <c r="C19" s="15" t="s">
        <v>290</v>
      </c>
      <c r="D19" s="23" t="s">
        <v>1602</v>
      </c>
      <c r="E19" s="23" t="s">
        <v>34</v>
      </c>
      <c r="F19" s="24">
        <v>500</v>
      </c>
      <c r="G19" s="25"/>
      <c r="H19" s="26">
        <f t="shared" si="0"/>
        <v>0</v>
      </c>
      <c r="I19" s="45"/>
      <c r="K19" s="25">
        <f>_LabourDaily/2.5</f>
        <v>127.42400000000001</v>
      </c>
      <c r="L19" s="48">
        <f>IF(K19="","",K19*F19)</f>
        <v>63712</v>
      </c>
      <c r="M19" s="25"/>
      <c r="N19" s="25"/>
    </row>
    <row r="20" spans="2:14" x14ac:dyDescent="0.25">
      <c r="B20" s="53"/>
      <c r="C20" s="15"/>
      <c r="D20" s="15"/>
      <c r="E20" s="23"/>
      <c r="F20" s="24"/>
      <c r="G20" s="25"/>
      <c r="H20" s="26" t="str">
        <f t="shared" si="0"/>
        <v/>
      </c>
      <c r="I20" s="45"/>
      <c r="K20" s="25"/>
      <c r="L20" s="48" t="str">
        <f>IF(K20="","",K20*F20)</f>
        <v/>
      </c>
      <c r="M20" s="25"/>
      <c r="N20" s="25"/>
    </row>
    <row r="21" spans="2:14" x14ac:dyDescent="0.25">
      <c r="B21" s="53" t="s">
        <v>291</v>
      </c>
      <c r="C21" s="15" t="s">
        <v>292</v>
      </c>
      <c r="D21" s="15"/>
      <c r="E21" s="23"/>
      <c r="F21" s="24"/>
      <c r="G21" s="43"/>
      <c r="H21" s="26" t="str">
        <f t="shared" si="0"/>
        <v/>
      </c>
      <c r="I21" s="44"/>
      <c r="K21" s="43"/>
      <c r="L21" s="48" t="str">
        <f>IF(K21="","",K21*F21)</f>
        <v/>
      </c>
      <c r="M21" s="43"/>
      <c r="N21" s="43"/>
    </row>
    <row r="22" spans="2:14" x14ac:dyDescent="0.25">
      <c r="B22" s="53"/>
      <c r="C22" s="15"/>
      <c r="D22" s="15"/>
      <c r="E22" s="23"/>
      <c r="F22" s="24"/>
      <c r="G22" s="46"/>
      <c r="H22" s="26" t="str">
        <f t="shared" si="0"/>
        <v/>
      </c>
      <c r="I22" s="44"/>
      <c r="K22" s="46"/>
      <c r="L22" s="46"/>
      <c r="M22" s="46"/>
      <c r="N22" s="46"/>
    </row>
    <row r="23" spans="2:14" ht="26.4" x14ac:dyDescent="0.25">
      <c r="B23" s="53" t="s">
        <v>293</v>
      </c>
      <c r="C23" s="15" t="s">
        <v>295</v>
      </c>
      <c r="D23" s="15"/>
      <c r="E23" s="23"/>
      <c r="F23" s="24"/>
      <c r="G23" s="43"/>
      <c r="H23" s="26" t="str">
        <f t="shared" si="0"/>
        <v/>
      </c>
      <c r="I23" s="47"/>
      <c r="K23" s="43"/>
      <c r="L23" s="43"/>
      <c r="M23" s="43"/>
      <c r="N23" s="43"/>
    </row>
    <row r="24" spans="2:14" x14ac:dyDescent="0.25">
      <c r="B24" s="53"/>
      <c r="C24" s="15"/>
      <c r="D24" s="15"/>
      <c r="E24" s="23"/>
      <c r="F24" s="24"/>
      <c r="G24" s="43"/>
      <c r="H24" s="26" t="str">
        <f t="shared" si="0"/>
        <v/>
      </c>
      <c r="I24" s="47"/>
      <c r="K24" s="43"/>
      <c r="L24" s="43"/>
      <c r="M24" s="43"/>
      <c r="N24" s="43"/>
    </row>
    <row r="25" spans="2:14" ht="26.4" x14ac:dyDescent="0.25">
      <c r="B25" s="53" t="s">
        <v>49</v>
      </c>
      <c r="C25" s="15" t="s">
        <v>296</v>
      </c>
      <c r="D25" s="15"/>
      <c r="E25" s="23" t="s">
        <v>305</v>
      </c>
      <c r="F25" s="24">
        <v>150721</v>
      </c>
      <c r="G25" s="48"/>
      <c r="H25" s="26">
        <f t="shared" si="0"/>
        <v>0</v>
      </c>
      <c r="K25" s="48"/>
      <c r="L25" s="48"/>
      <c r="M25" s="48"/>
      <c r="N25" s="48"/>
    </row>
    <row r="26" spans="2:14" x14ac:dyDescent="0.25">
      <c r="B26" s="53"/>
      <c r="C26" s="15"/>
      <c r="D26" s="15"/>
      <c r="E26" s="23"/>
      <c r="F26" s="24"/>
      <c r="G26" s="48"/>
      <c r="H26" s="26"/>
      <c r="K26" s="48"/>
      <c r="L26" s="48"/>
      <c r="M26" s="48"/>
      <c r="N26" s="48"/>
    </row>
    <row r="27" spans="2:14" ht="15.6" x14ac:dyDescent="0.25">
      <c r="B27" s="53" t="s">
        <v>51</v>
      </c>
      <c r="C27" s="15" t="s">
        <v>297</v>
      </c>
      <c r="D27" s="15"/>
      <c r="E27" s="23" t="s">
        <v>305</v>
      </c>
      <c r="F27" s="24">
        <f>F25*0.1</f>
        <v>15072.1</v>
      </c>
      <c r="G27" s="48"/>
      <c r="H27" s="26">
        <f t="shared" ref="H27:H61" si="1">IF(E27="","",F27*G27)</f>
        <v>0</v>
      </c>
      <c r="K27" s="48"/>
      <c r="L27" s="48"/>
      <c r="M27" s="48"/>
      <c r="N27" s="48"/>
    </row>
    <row r="28" spans="2:14" x14ac:dyDescent="0.25">
      <c r="B28" s="53"/>
      <c r="C28" s="15"/>
      <c r="D28" s="15"/>
      <c r="E28" s="23"/>
      <c r="F28" s="24"/>
      <c r="G28" s="48"/>
      <c r="H28" s="26" t="str">
        <f t="shared" si="1"/>
        <v/>
      </c>
      <c r="K28" s="48"/>
      <c r="L28" s="48"/>
      <c r="M28" s="48"/>
      <c r="N28" s="48"/>
    </row>
    <row r="29" spans="2:14" ht="26.4" x14ac:dyDescent="0.25">
      <c r="B29" s="53" t="s">
        <v>294</v>
      </c>
      <c r="C29" s="15" t="s">
        <v>298</v>
      </c>
      <c r="D29" s="15"/>
      <c r="E29" s="23"/>
      <c r="F29" s="24"/>
      <c r="G29" s="41"/>
      <c r="H29" s="26" t="str">
        <f t="shared" si="1"/>
        <v/>
      </c>
      <c r="K29" s="41"/>
      <c r="L29" s="41"/>
      <c r="M29" s="41"/>
      <c r="N29" s="41"/>
    </row>
    <row r="30" spans="2:14" x14ac:dyDescent="0.25">
      <c r="B30" s="53"/>
      <c r="C30" s="15"/>
      <c r="D30" s="15"/>
      <c r="E30" s="23"/>
      <c r="F30" s="24"/>
      <c r="G30" s="41"/>
      <c r="H30" s="26" t="str">
        <f t="shared" si="1"/>
        <v/>
      </c>
      <c r="K30" s="41"/>
      <c r="L30" s="41"/>
      <c r="M30" s="41"/>
      <c r="N30" s="41"/>
    </row>
    <row r="31" spans="2:14" ht="26.4" x14ac:dyDescent="0.25">
      <c r="B31" s="53" t="s">
        <v>49</v>
      </c>
      <c r="C31" s="15" t="s">
        <v>299</v>
      </c>
      <c r="D31" s="15"/>
      <c r="E31" s="23" t="s">
        <v>305</v>
      </c>
      <c r="F31" s="24">
        <v>5000</v>
      </c>
      <c r="G31" s="48"/>
      <c r="H31" s="26">
        <f t="shared" si="1"/>
        <v>0</v>
      </c>
      <c r="K31" s="48"/>
      <c r="L31" s="48"/>
      <c r="M31" s="48"/>
      <c r="N31" s="48"/>
    </row>
    <row r="32" spans="2:14" x14ac:dyDescent="0.25">
      <c r="B32" s="53"/>
      <c r="C32" s="29"/>
      <c r="D32" s="147"/>
      <c r="E32" s="23"/>
      <c r="F32" s="24"/>
      <c r="G32" s="48"/>
      <c r="H32" s="26" t="str">
        <f t="shared" si="1"/>
        <v/>
      </c>
      <c r="K32" s="48"/>
      <c r="L32" s="48"/>
      <c r="M32" s="48"/>
      <c r="N32" s="48"/>
    </row>
    <row r="33" spans="2:14" ht="15.6" x14ac:dyDescent="0.25">
      <c r="B33" s="53" t="s">
        <v>51</v>
      </c>
      <c r="C33" s="29" t="s">
        <v>300</v>
      </c>
      <c r="D33" s="147"/>
      <c r="E33" s="23" t="s">
        <v>305</v>
      </c>
      <c r="F33" s="24">
        <f>45621*2</f>
        <v>91242</v>
      </c>
      <c r="G33" s="48"/>
      <c r="H33" s="26">
        <f t="shared" si="1"/>
        <v>0</v>
      </c>
      <c r="K33" s="48"/>
      <c r="L33" s="48"/>
      <c r="M33" s="48"/>
      <c r="N33" s="48"/>
    </row>
    <row r="34" spans="2:14" x14ac:dyDescent="0.25">
      <c r="B34" s="53"/>
      <c r="C34" s="29"/>
      <c r="D34" s="147"/>
      <c r="E34" s="23"/>
      <c r="F34" s="24"/>
      <c r="G34" s="46"/>
      <c r="H34" s="26" t="str">
        <f t="shared" si="1"/>
        <v/>
      </c>
      <c r="K34" s="46"/>
      <c r="L34" s="46"/>
      <c r="M34" s="46"/>
      <c r="N34" s="46"/>
    </row>
    <row r="35" spans="2:14" ht="15.6" x14ac:dyDescent="0.25">
      <c r="B35" s="53" t="s">
        <v>65</v>
      </c>
      <c r="C35" s="29" t="s">
        <v>301</v>
      </c>
      <c r="D35" s="147"/>
      <c r="E35" s="23" t="s">
        <v>305</v>
      </c>
      <c r="F35" s="24">
        <v>5000</v>
      </c>
      <c r="G35" s="48"/>
      <c r="H35" s="26">
        <f t="shared" si="1"/>
        <v>0</v>
      </c>
      <c r="K35" s="48"/>
      <c r="L35" s="48"/>
      <c r="M35" s="48"/>
      <c r="N35" s="48"/>
    </row>
    <row r="36" spans="2:14" x14ac:dyDescent="0.25">
      <c r="B36" s="53"/>
      <c r="C36" s="15"/>
      <c r="D36" s="15"/>
      <c r="E36" s="23"/>
      <c r="F36" s="24"/>
      <c r="G36" s="43"/>
      <c r="H36" s="26" t="str">
        <f t="shared" si="1"/>
        <v/>
      </c>
      <c r="I36" s="44"/>
      <c r="K36" s="43"/>
      <c r="L36" s="43"/>
      <c r="M36" s="43"/>
      <c r="N36" s="43"/>
    </row>
    <row r="37" spans="2:14" x14ac:dyDescent="0.25">
      <c r="B37" s="53"/>
      <c r="C37" s="15"/>
      <c r="D37" s="15"/>
      <c r="E37" s="23"/>
      <c r="F37" s="24"/>
      <c r="G37" s="43"/>
      <c r="H37" s="26" t="str">
        <f t="shared" si="1"/>
        <v/>
      </c>
      <c r="I37" s="44"/>
      <c r="K37" s="43"/>
      <c r="L37" s="43"/>
      <c r="M37" s="43"/>
      <c r="N37" s="43"/>
    </row>
    <row r="38" spans="2:14" x14ac:dyDescent="0.25">
      <c r="B38" s="53"/>
      <c r="C38" s="15"/>
      <c r="D38" s="15"/>
      <c r="E38" s="23"/>
      <c r="F38" s="24"/>
      <c r="G38" s="41"/>
      <c r="H38" s="26" t="str">
        <f t="shared" si="1"/>
        <v/>
      </c>
      <c r="I38" s="45"/>
      <c r="K38" s="41"/>
      <c r="L38" s="41"/>
      <c r="M38" s="41"/>
      <c r="N38" s="41"/>
    </row>
    <row r="39" spans="2:14" x14ac:dyDescent="0.25">
      <c r="B39" s="53"/>
      <c r="C39" s="15"/>
      <c r="D39" s="15"/>
      <c r="E39" s="16"/>
      <c r="F39" s="27"/>
      <c r="G39" s="30"/>
      <c r="H39" s="26" t="str">
        <f t="shared" si="1"/>
        <v/>
      </c>
      <c r="I39" s="19"/>
      <c r="K39" s="30"/>
      <c r="L39" s="30"/>
      <c r="M39" s="30"/>
      <c r="N39" s="30"/>
    </row>
    <row r="40" spans="2:14" s="39" customFormat="1" x14ac:dyDescent="0.25">
      <c r="B40" s="53"/>
      <c r="C40" s="15"/>
      <c r="D40" s="15"/>
      <c r="E40" s="16"/>
      <c r="F40" s="27"/>
      <c r="G40" s="30"/>
      <c r="H40" s="26" t="str">
        <f t="shared" si="1"/>
        <v/>
      </c>
      <c r="I40" s="19"/>
      <c r="K40" s="30"/>
      <c r="L40" s="30"/>
      <c r="M40" s="30"/>
      <c r="N40" s="30"/>
    </row>
    <row r="41" spans="2:14" x14ac:dyDescent="0.25">
      <c r="B41" s="53"/>
      <c r="C41" s="15"/>
      <c r="D41" s="15"/>
      <c r="E41" s="23"/>
      <c r="F41" s="24"/>
      <c r="G41" s="41"/>
      <c r="H41" s="26" t="str">
        <f t="shared" si="1"/>
        <v/>
      </c>
      <c r="I41" s="45"/>
      <c r="K41" s="41"/>
      <c r="L41" s="41"/>
      <c r="M41" s="41"/>
      <c r="N41" s="41"/>
    </row>
    <row r="42" spans="2:14" x14ac:dyDescent="0.25">
      <c r="B42" s="53"/>
      <c r="C42" s="15"/>
      <c r="D42" s="15"/>
      <c r="E42" s="23"/>
      <c r="F42" s="24"/>
      <c r="G42" s="41"/>
      <c r="H42" s="26" t="str">
        <f t="shared" si="1"/>
        <v/>
      </c>
      <c r="I42" s="45"/>
      <c r="K42" s="41"/>
      <c r="L42" s="41"/>
      <c r="M42" s="41"/>
      <c r="N42" s="41"/>
    </row>
    <row r="43" spans="2:14" x14ac:dyDescent="0.25">
      <c r="B43" s="53"/>
      <c r="C43" s="15"/>
      <c r="D43" s="15"/>
      <c r="E43" s="23"/>
      <c r="F43" s="24"/>
      <c r="G43" s="50"/>
      <c r="H43" s="26" t="str">
        <f t="shared" si="1"/>
        <v/>
      </c>
      <c r="I43" s="44"/>
      <c r="K43" s="50"/>
      <c r="L43" s="50"/>
      <c r="M43" s="50"/>
      <c r="N43" s="50"/>
    </row>
    <row r="44" spans="2:14" x14ac:dyDescent="0.25">
      <c r="B44" s="53"/>
      <c r="C44" s="15"/>
      <c r="D44" s="15"/>
      <c r="E44" s="23"/>
      <c r="F44" s="24"/>
      <c r="G44" s="50"/>
      <c r="H44" s="26" t="str">
        <f t="shared" si="1"/>
        <v/>
      </c>
      <c r="I44" s="44"/>
      <c r="K44" s="50"/>
      <c r="L44" s="50"/>
      <c r="M44" s="50"/>
      <c r="N44" s="50"/>
    </row>
    <row r="45" spans="2:14" x14ac:dyDescent="0.25">
      <c r="B45" s="53"/>
      <c r="C45" s="15"/>
      <c r="D45" s="15"/>
      <c r="E45" s="23"/>
      <c r="F45" s="24"/>
      <c r="G45" s="46"/>
      <c r="H45" s="26" t="str">
        <f t="shared" si="1"/>
        <v/>
      </c>
      <c r="I45" s="44"/>
      <c r="K45" s="46"/>
      <c r="L45" s="46"/>
      <c r="M45" s="46"/>
      <c r="N45" s="46"/>
    </row>
    <row r="46" spans="2:14" x14ac:dyDescent="0.25">
      <c r="B46" s="53"/>
      <c r="C46" s="15"/>
      <c r="D46" s="15"/>
      <c r="E46" s="23"/>
      <c r="F46" s="24"/>
      <c r="G46" s="46"/>
      <c r="H46" s="26" t="str">
        <f t="shared" si="1"/>
        <v/>
      </c>
      <c r="I46" s="44"/>
      <c r="K46" s="46"/>
      <c r="L46" s="46"/>
      <c r="M46" s="46"/>
      <c r="N46" s="46"/>
    </row>
    <row r="47" spans="2:14" x14ac:dyDescent="0.25">
      <c r="B47" s="53"/>
      <c r="C47" s="15"/>
      <c r="D47" s="15"/>
      <c r="E47" s="23"/>
      <c r="F47" s="23"/>
      <c r="G47" s="43"/>
      <c r="H47" s="26" t="str">
        <f t="shared" si="1"/>
        <v/>
      </c>
      <c r="I47" s="44"/>
      <c r="K47" s="43"/>
      <c r="L47" s="43"/>
      <c r="M47" s="43"/>
      <c r="N47" s="43"/>
    </row>
    <row r="48" spans="2:14" x14ac:dyDescent="0.25">
      <c r="B48" s="53"/>
      <c r="C48" s="15"/>
      <c r="D48" s="15"/>
      <c r="E48" s="23"/>
      <c r="F48" s="23"/>
      <c r="G48" s="43"/>
      <c r="H48" s="26" t="str">
        <f t="shared" si="1"/>
        <v/>
      </c>
      <c r="I48" s="44"/>
      <c r="K48" s="43"/>
      <c r="L48" s="43"/>
      <c r="M48" s="43"/>
      <c r="N48" s="43"/>
    </row>
    <row r="49" spans="2:14" x14ac:dyDescent="0.25">
      <c r="B49" s="53"/>
      <c r="C49" s="15"/>
      <c r="D49" s="15"/>
      <c r="E49" s="23"/>
      <c r="F49" s="23"/>
      <c r="G49" s="41"/>
      <c r="H49" s="26" t="str">
        <f t="shared" si="1"/>
        <v/>
      </c>
      <c r="I49" s="44"/>
      <c r="K49" s="41"/>
      <c r="L49" s="41"/>
      <c r="M49" s="41"/>
      <c r="N49" s="41"/>
    </row>
    <row r="50" spans="2:14" x14ac:dyDescent="0.25">
      <c r="B50" s="53"/>
      <c r="C50" s="15"/>
      <c r="D50" s="15"/>
      <c r="E50" s="23"/>
      <c r="F50" s="23"/>
      <c r="G50" s="41"/>
      <c r="H50" s="26" t="str">
        <f t="shared" si="1"/>
        <v/>
      </c>
      <c r="I50" s="44"/>
      <c r="K50" s="41"/>
      <c r="L50" s="41"/>
      <c r="M50" s="41"/>
      <c r="N50" s="41"/>
    </row>
    <row r="51" spans="2:14" x14ac:dyDescent="0.25">
      <c r="B51" s="53"/>
      <c r="C51" s="15"/>
      <c r="D51" s="15"/>
      <c r="E51" s="23"/>
      <c r="F51" s="23"/>
      <c r="G51" s="41"/>
      <c r="H51" s="26" t="str">
        <f t="shared" si="1"/>
        <v/>
      </c>
      <c r="I51" s="44"/>
      <c r="K51" s="41"/>
      <c r="L51" s="41"/>
      <c r="M51" s="41"/>
      <c r="N51" s="41"/>
    </row>
    <row r="52" spans="2:14" x14ac:dyDescent="0.25">
      <c r="B52" s="53"/>
      <c r="C52" s="15"/>
      <c r="D52" s="15"/>
      <c r="E52" s="23"/>
      <c r="F52" s="23"/>
      <c r="G52" s="41"/>
      <c r="H52" s="26" t="str">
        <f t="shared" si="1"/>
        <v/>
      </c>
      <c r="I52" s="44"/>
      <c r="K52" s="41"/>
      <c r="L52" s="41"/>
      <c r="M52" s="41"/>
      <c r="N52" s="41"/>
    </row>
    <row r="53" spans="2:14" x14ac:dyDescent="0.25">
      <c r="B53" s="53"/>
      <c r="C53" s="15"/>
      <c r="D53" s="15"/>
      <c r="E53" s="23"/>
      <c r="F53" s="23"/>
      <c r="G53" s="41"/>
      <c r="H53" s="26" t="str">
        <f t="shared" si="1"/>
        <v/>
      </c>
      <c r="I53" s="44"/>
      <c r="K53" s="41"/>
      <c r="L53" s="41"/>
      <c r="M53" s="41"/>
      <c r="N53" s="41"/>
    </row>
    <row r="54" spans="2:14" x14ac:dyDescent="0.25">
      <c r="B54" s="53"/>
      <c r="C54" s="15"/>
      <c r="D54" s="15"/>
      <c r="E54" s="23"/>
      <c r="F54" s="23"/>
      <c r="G54" s="41"/>
      <c r="H54" s="26" t="str">
        <f t="shared" si="1"/>
        <v/>
      </c>
      <c r="I54" s="44"/>
      <c r="K54" s="41"/>
      <c r="L54" s="41"/>
      <c r="M54" s="41"/>
      <c r="N54" s="41"/>
    </row>
    <row r="55" spans="2:14" x14ac:dyDescent="0.25">
      <c r="B55" s="53"/>
      <c r="C55" s="15"/>
      <c r="D55" s="15"/>
      <c r="E55" s="23"/>
      <c r="F55" s="23"/>
      <c r="G55" s="41"/>
      <c r="H55" s="26" t="str">
        <f t="shared" si="1"/>
        <v/>
      </c>
      <c r="I55" s="44"/>
      <c r="K55" s="41"/>
      <c r="L55" s="41"/>
      <c r="M55" s="41"/>
      <c r="N55" s="41"/>
    </row>
    <row r="56" spans="2:14" x14ac:dyDescent="0.25">
      <c r="B56" s="53"/>
      <c r="C56" s="15"/>
      <c r="D56" s="15"/>
      <c r="E56" s="23"/>
      <c r="F56" s="23"/>
      <c r="G56" s="41"/>
      <c r="H56" s="26" t="str">
        <f t="shared" si="1"/>
        <v/>
      </c>
      <c r="I56" s="44"/>
      <c r="K56" s="41"/>
      <c r="L56" s="41"/>
      <c r="M56" s="41"/>
      <c r="N56" s="41"/>
    </row>
    <row r="57" spans="2:14" x14ac:dyDescent="0.25">
      <c r="B57" s="53"/>
      <c r="C57" s="15"/>
      <c r="D57" s="15"/>
      <c r="E57" s="23"/>
      <c r="F57" s="23"/>
      <c r="G57" s="51"/>
      <c r="H57" s="26" t="str">
        <f t="shared" si="1"/>
        <v/>
      </c>
      <c r="I57" s="44"/>
      <c r="K57" s="51"/>
      <c r="L57" s="51"/>
      <c r="M57" s="51"/>
      <c r="N57" s="51"/>
    </row>
    <row r="58" spans="2:14" x14ac:dyDescent="0.25">
      <c r="B58" s="53"/>
      <c r="C58" s="15"/>
      <c r="D58" s="15"/>
      <c r="E58" s="23"/>
      <c r="F58" s="23"/>
      <c r="G58" s="41"/>
      <c r="H58" s="26" t="str">
        <f t="shared" si="1"/>
        <v/>
      </c>
      <c r="I58" s="44"/>
      <c r="K58" s="41"/>
      <c r="L58" s="41"/>
      <c r="M58" s="41"/>
      <c r="N58" s="41"/>
    </row>
    <row r="59" spans="2:14" x14ac:dyDescent="0.25">
      <c r="B59" s="53"/>
      <c r="C59" s="29"/>
      <c r="D59" s="147"/>
      <c r="E59" s="23"/>
      <c r="F59" s="23"/>
      <c r="G59" s="41"/>
      <c r="H59" s="26" t="str">
        <f t="shared" si="1"/>
        <v/>
      </c>
      <c r="I59" s="44"/>
      <c r="K59" s="41"/>
      <c r="L59" s="41"/>
      <c r="M59" s="41"/>
      <c r="N59" s="41"/>
    </row>
    <row r="60" spans="2:14" x14ac:dyDescent="0.25">
      <c r="B60" s="53"/>
      <c r="C60" s="29"/>
      <c r="D60" s="147"/>
      <c r="E60" s="40"/>
      <c r="F60" s="40"/>
      <c r="G60" s="41"/>
      <c r="H60" s="26" t="str">
        <f t="shared" si="1"/>
        <v/>
      </c>
      <c r="K60" s="41"/>
      <c r="L60" s="41"/>
      <c r="M60" s="41"/>
      <c r="N60" s="41"/>
    </row>
    <row r="61" spans="2:14" x14ac:dyDescent="0.25">
      <c r="B61" s="53"/>
      <c r="C61" s="15"/>
      <c r="D61" s="15"/>
      <c r="E61" s="23"/>
      <c r="F61" s="23"/>
      <c r="G61" s="41"/>
      <c r="H61" s="26" t="str">
        <f t="shared" si="1"/>
        <v/>
      </c>
      <c r="I61" s="44"/>
      <c r="K61" s="41"/>
      <c r="L61" s="41"/>
      <c r="M61" s="41"/>
      <c r="N61" s="41"/>
    </row>
    <row r="62" spans="2:14" x14ac:dyDescent="0.25">
      <c r="B62" s="53"/>
      <c r="C62" s="29"/>
      <c r="D62" s="147"/>
      <c r="E62" s="40"/>
      <c r="F62" s="40"/>
      <c r="G62" s="41"/>
      <c r="H62" s="26"/>
      <c r="I62" s="52"/>
      <c r="K62" s="41"/>
      <c r="L62" s="41"/>
      <c r="M62" s="41"/>
      <c r="N62" s="41"/>
    </row>
    <row r="63" spans="2:14" x14ac:dyDescent="0.25">
      <c r="B63" s="53"/>
      <c r="C63" s="28"/>
      <c r="D63" s="146"/>
      <c r="E63" s="40"/>
      <c r="F63" s="40"/>
      <c r="G63" s="41"/>
      <c r="H63" s="26"/>
      <c r="K63" s="41"/>
      <c r="L63" s="41"/>
      <c r="M63" s="41"/>
      <c r="N63" s="41"/>
    </row>
    <row r="64" spans="2:14" x14ac:dyDescent="0.25">
      <c r="B64" s="53"/>
      <c r="C64" s="15"/>
      <c r="D64" s="15"/>
      <c r="E64" s="23"/>
      <c r="F64" s="23"/>
      <c r="G64" s="41"/>
      <c r="H64" s="26"/>
      <c r="I64" s="44"/>
      <c r="K64" s="41"/>
      <c r="L64" s="41"/>
      <c r="M64" s="41"/>
      <c r="N64" s="41"/>
    </row>
    <row r="65" spans="2:14" x14ac:dyDescent="0.25">
      <c r="B65" s="53"/>
      <c r="C65" s="15"/>
      <c r="D65" s="15"/>
      <c r="E65" s="23"/>
      <c r="F65" s="23"/>
      <c r="G65" s="41"/>
      <c r="H65" s="26"/>
      <c r="I65" s="44"/>
      <c r="K65" s="41"/>
      <c r="L65" s="41"/>
      <c r="M65" s="41"/>
      <c r="N65" s="41"/>
    </row>
    <row r="66" spans="2:14" x14ac:dyDescent="0.25">
      <c r="B66" s="53"/>
      <c r="C66" s="15"/>
      <c r="D66" s="15"/>
      <c r="E66" s="23"/>
      <c r="F66" s="23"/>
      <c r="G66" s="41"/>
      <c r="H66" s="26"/>
      <c r="I66" s="44"/>
      <c r="K66" s="41"/>
      <c r="L66" s="41"/>
      <c r="M66" s="41"/>
      <c r="N66" s="41"/>
    </row>
    <row r="67" spans="2:14" s="31" customFormat="1" ht="25.2" customHeight="1" x14ac:dyDescent="0.25">
      <c r="B67" s="90" t="str">
        <f>B11</f>
        <v>C1.7</v>
      </c>
      <c r="C67" s="33" t="str">
        <f>"TOTAL CARRIED FORWARD"&amp;IF(H67=H$1," TO SUMMARY (Page C"&amp;Page_A&amp;")","")</f>
        <v>TOTAL CARRIED FORWARD TO SUMMARY (Page C57)</v>
      </c>
      <c r="D67" s="33"/>
      <c r="E67" s="34"/>
      <c r="F67" s="35"/>
      <c r="G67" s="34"/>
      <c r="H67" s="36">
        <f>SUM(H5:H66)</f>
        <v>0</v>
      </c>
      <c r="I67" s="37"/>
      <c r="K67" s="34"/>
      <c r="L67" s="36">
        <f>SUM(L5:L66)</f>
        <v>63712</v>
      </c>
      <c r="M67" s="34"/>
      <c r="N67" s="34"/>
    </row>
  </sheetData>
  <mergeCells count="4">
    <mergeCell ref="F2:H2"/>
    <mergeCell ref="B6:G8"/>
    <mergeCell ref="H5:H8"/>
    <mergeCell ref="B5:G5"/>
  </mergeCells>
  <phoneticPr fontId="14" type="noConversion"/>
  <pageMargins left="0.62992125984251968" right="0.43307086614173229" top="0.62992125984251968" bottom="0.55118110236220474" header="0.51181102362204722" footer="0.31496062992125984"/>
  <pageSetup paperSize="9" scale="76"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6190-6327-41AE-A304-F57398AAF2C4}">
  <sheetPr codeName="Sheet52">
    <tabColor rgb="FF92D050"/>
  </sheetPr>
  <dimension ref="B1:N46"/>
  <sheetViews>
    <sheetView view="pageBreakPreview" zoomScaleNormal="125" zoomScaleSheetLayoutView="100" zoomScalePageLayoutView="125" workbookViewId="0">
      <selection activeCell="H24" sqref="H24"/>
    </sheetView>
  </sheetViews>
  <sheetFormatPr defaultColWidth="8.6640625" defaultRowHeight="13.2" x14ac:dyDescent="0.25"/>
  <cols>
    <col min="1" max="1" width="0.6640625" style="1" customWidth="1"/>
    <col min="2" max="2" width="11.5546875" style="38" customWidth="1"/>
    <col min="3" max="3" width="45.5546875" style="3" customWidth="1"/>
    <col min="4" max="4" width="4.8867187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0" width="8.6640625" style="1"/>
    <col min="11" max="14" width="15.5546875" style="1" customWidth="1"/>
    <col min="15" max="16384" width="8.6640625" style="1"/>
  </cols>
  <sheetData>
    <row r="1" spans="2:14" x14ac:dyDescent="0.25">
      <c r="H1" s="234">
        <f>MAX(H9:H498)</f>
        <v>20000</v>
      </c>
    </row>
    <row r="2" spans="2:14" x14ac:dyDescent="0.25">
      <c r="B2" s="2" t="str">
        <f>Client1</f>
        <v>Province of KwaZulu-Natal</v>
      </c>
      <c r="F2" s="510" t="str">
        <f>"Contract No. "&amp;ContractNo</f>
        <v>Contract No. ZNB02215/00000/00/HOD/INF/23/T</v>
      </c>
      <c r="G2" s="510"/>
      <c r="H2" s="510"/>
      <c r="K2" s="402"/>
      <c r="L2" s="402">
        <f>MAX(L3:L243)</f>
        <v>68171.840000000011</v>
      </c>
      <c r="M2" s="402"/>
      <c r="N2" s="403"/>
    </row>
    <row r="3" spans="2:14" x14ac:dyDescent="0.25">
      <c r="B3" s="96" t="str">
        <f>Client2</f>
        <v>Department of Transport</v>
      </c>
      <c r="K3" s="1" t="s">
        <v>1421</v>
      </c>
      <c r="L3" s="1" t="s">
        <v>1422</v>
      </c>
      <c r="M3" s="1" t="s">
        <v>1423</v>
      </c>
      <c r="N3" s="1" t="s">
        <v>1424</v>
      </c>
    </row>
    <row r="4" spans="2:14" x14ac:dyDescent="0.25">
      <c r="B4" s="3"/>
    </row>
    <row r="5" spans="2:14" ht="12.75" customHeight="1" x14ac:dyDescent="0.25">
      <c r="B5" s="507" t="s">
        <v>8</v>
      </c>
      <c r="C5" s="508"/>
      <c r="D5" s="508"/>
      <c r="E5" s="508"/>
      <c r="F5" s="508"/>
      <c r="G5" s="508"/>
      <c r="H5" s="512" t="str">
        <f>"CHAPTER "&amp;B11</f>
        <v>CHAPTER C2.1</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13"/>
      <c r="I6" s="9"/>
    </row>
    <row r="7" spans="2:14" ht="12.75" customHeight="1" x14ac:dyDescent="0.25">
      <c r="B7" s="500"/>
      <c r="C7" s="501"/>
      <c r="D7" s="501"/>
      <c r="E7" s="501"/>
      <c r="F7" s="501"/>
      <c r="G7" s="501"/>
      <c r="H7" s="513"/>
      <c r="I7" s="9"/>
    </row>
    <row r="8" spans="2:14" s="10" customFormat="1" ht="7.5" customHeight="1" x14ac:dyDescent="0.25">
      <c r="B8" s="502"/>
      <c r="C8" s="503"/>
      <c r="D8" s="503"/>
      <c r="E8" s="503"/>
      <c r="F8" s="503"/>
      <c r="G8" s="503"/>
      <c r="H8" s="514"/>
      <c r="I8" s="13"/>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53"/>
      <c r="C10" s="15"/>
      <c r="D10" s="15"/>
      <c r="E10" s="16"/>
      <c r="F10" s="16"/>
      <c r="G10" s="17"/>
      <c r="H10" s="26" t="str">
        <f t="shared" ref="H10:H22" si="0">IF(E10="","",F10*G10)</f>
        <v/>
      </c>
      <c r="I10" s="19"/>
      <c r="K10" s="17"/>
      <c r="L10" s="17"/>
      <c r="M10" s="17"/>
      <c r="N10" s="17"/>
    </row>
    <row r="11" spans="2:14" ht="26.4" x14ac:dyDescent="0.25">
      <c r="B11" s="80" t="s">
        <v>701</v>
      </c>
      <c r="C11" s="21" t="s">
        <v>700</v>
      </c>
      <c r="D11" s="21"/>
      <c r="E11" s="16"/>
      <c r="F11" s="16"/>
      <c r="G11" s="17"/>
      <c r="H11" s="26" t="str">
        <f t="shared" si="0"/>
        <v/>
      </c>
      <c r="I11" s="19"/>
      <c r="K11" s="17"/>
      <c r="L11" s="17"/>
      <c r="M11" s="17"/>
      <c r="N11" s="17"/>
    </row>
    <row r="12" spans="2:14" x14ac:dyDescent="0.25">
      <c r="B12" s="53"/>
      <c r="C12" s="15"/>
      <c r="D12" s="15"/>
      <c r="E12" s="16"/>
      <c r="F12" s="16"/>
      <c r="G12" s="17"/>
      <c r="H12" s="26" t="str">
        <f t="shared" si="0"/>
        <v/>
      </c>
      <c r="I12" s="19"/>
      <c r="K12" s="17"/>
      <c r="L12" s="17"/>
      <c r="M12" s="17"/>
      <c r="N12" s="17"/>
    </row>
    <row r="13" spans="2:14" ht="26.4" x14ac:dyDescent="0.25">
      <c r="B13" s="66" t="s">
        <v>699</v>
      </c>
      <c r="C13" s="15" t="s">
        <v>698</v>
      </c>
      <c r="D13" s="15"/>
      <c r="E13" s="16"/>
      <c r="F13" s="16"/>
      <c r="G13" s="17"/>
      <c r="H13" s="26" t="str">
        <f t="shared" si="0"/>
        <v/>
      </c>
      <c r="I13" s="19"/>
      <c r="K13" s="17"/>
      <c r="L13" s="17"/>
      <c r="M13" s="17"/>
      <c r="N13" s="17"/>
    </row>
    <row r="14" spans="2:14" x14ac:dyDescent="0.25">
      <c r="B14" s="66"/>
      <c r="C14" s="15"/>
      <c r="D14" s="15"/>
      <c r="E14" s="16"/>
      <c r="F14" s="16"/>
      <c r="G14" s="17"/>
      <c r="H14" s="26" t="str">
        <f t="shared" si="0"/>
        <v/>
      </c>
      <c r="I14" s="19"/>
      <c r="K14" s="17"/>
      <c r="L14" s="17"/>
      <c r="M14" s="17"/>
      <c r="N14" s="17"/>
    </row>
    <row r="15" spans="2:14" x14ac:dyDescent="0.25">
      <c r="B15" s="53" t="s">
        <v>697</v>
      </c>
      <c r="C15" s="15" t="s">
        <v>696</v>
      </c>
      <c r="D15" s="15"/>
      <c r="E15" s="23" t="s">
        <v>11</v>
      </c>
      <c r="F15" s="24">
        <v>1</v>
      </c>
      <c r="G15" s="25"/>
      <c r="H15" s="26">
        <f t="shared" si="0"/>
        <v>0</v>
      </c>
      <c r="I15" s="65"/>
      <c r="K15" s="25"/>
      <c r="L15" s="25"/>
      <c r="M15" s="25"/>
      <c r="N15" s="25"/>
    </row>
    <row r="16" spans="2:14" x14ac:dyDescent="0.25">
      <c r="B16" s="66"/>
      <c r="C16" s="15"/>
      <c r="D16" s="15"/>
      <c r="E16" s="16"/>
      <c r="F16" s="27"/>
      <c r="G16" s="17"/>
      <c r="H16" s="26" t="str">
        <f t="shared" si="0"/>
        <v/>
      </c>
      <c r="I16" s="19"/>
      <c r="K16" s="17"/>
      <c r="L16" s="17"/>
      <c r="M16" s="17"/>
      <c r="N16" s="17"/>
    </row>
    <row r="17" spans="2:14" ht="26.4" x14ac:dyDescent="0.25">
      <c r="B17" s="53" t="s">
        <v>695</v>
      </c>
      <c r="C17" s="15" t="s">
        <v>694</v>
      </c>
      <c r="D17" s="15"/>
      <c r="E17" s="23" t="s">
        <v>649</v>
      </c>
      <c r="F17" s="27">
        <v>20000</v>
      </c>
      <c r="G17" s="72">
        <v>1</v>
      </c>
      <c r="H17" s="26">
        <f t="shared" si="0"/>
        <v>20000</v>
      </c>
      <c r="I17" s="19"/>
      <c r="K17" s="72"/>
      <c r="L17" s="72"/>
      <c r="M17" s="72"/>
      <c r="N17" s="72"/>
    </row>
    <row r="18" spans="2:14" x14ac:dyDescent="0.25">
      <c r="B18" s="66"/>
      <c r="C18" s="15"/>
      <c r="D18" s="15"/>
      <c r="E18" s="16"/>
      <c r="F18" s="27"/>
      <c r="G18" s="72"/>
      <c r="H18" s="26" t="str">
        <f t="shared" si="0"/>
        <v/>
      </c>
      <c r="I18" s="68"/>
      <c r="K18" s="72"/>
      <c r="L18" s="72"/>
      <c r="M18" s="72"/>
      <c r="N18" s="72"/>
    </row>
    <row r="19" spans="2:14" ht="26.4" x14ac:dyDescent="0.25">
      <c r="B19" s="53" t="s">
        <v>693</v>
      </c>
      <c r="C19" s="29" t="s">
        <v>692</v>
      </c>
      <c r="D19" s="147"/>
      <c r="E19" s="23" t="s">
        <v>36</v>
      </c>
      <c r="F19" s="27">
        <f>H17</f>
        <v>20000</v>
      </c>
      <c r="G19" s="477"/>
      <c r="H19" s="26">
        <f t="shared" si="0"/>
        <v>0</v>
      </c>
      <c r="I19" s="71"/>
      <c r="K19" s="72"/>
      <c r="L19" s="72"/>
      <c r="M19" s="72"/>
      <c r="N19" s="72"/>
    </row>
    <row r="20" spans="2:14" x14ac:dyDescent="0.25">
      <c r="B20" s="66"/>
      <c r="C20" s="28"/>
      <c r="D20" s="146"/>
      <c r="E20" s="69"/>
      <c r="F20" s="27"/>
      <c r="G20" s="72"/>
      <c r="H20" s="26" t="str">
        <f t="shared" si="0"/>
        <v/>
      </c>
      <c r="I20" s="71"/>
      <c r="K20" s="72"/>
      <c r="L20" s="72"/>
      <c r="M20" s="72"/>
      <c r="N20" s="72"/>
    </row>
    <row r="21" spans="2:14" ht="26.4" x14ac:dyDescent="0.25">
      <c r="B21" s="53" t="s">
        <v>691</v>
      </c>
      <c r="C21" s="15" t="s">
        <v>690</v>
      </c>
      <c r="D21" s="23" t="s">
        <v>1602</v>
      </c>
      <c r="E21" s="23" t="s">
        <v>601</v>
      </c>
      <c r="F21" s="27">
        <v>250</v>
      </c>
      <c r="G21" s="72"/>
      <c r="H21" s="26">
        <f t="shared" si="0"/>
        <v>0</v>
      </c>
      <c r="I21" s="65"/>
      <c r="K21" s="25">
        <f>_LabourDaily/2.5</f>
        <v>127.42400000000001</v>
      </c>
      <c r="L21" s="48">
        <f>IF(K21="","",K21*F21)</f>
        <v>31856</v>
      </c>
      <c r="M21" s="72"/>
      <c r="N21" s="72"/>
    </row>
    <row r="22" spans="2:14" x14ac:dyDescent="0.25">
      <c r="B22" s="66"/>
      <c r="C22" s="15"/>
      <c r="D22" s="15"/>
      <c r="E22" s="16"/>
      <c r="F22" s="16"/>
      <c r="G22" s="17"/>
      <c r="H22" s="26" t="str">
        <f t="shared" si="0"/>
        <v/>
      </c>
      <c r="I22" s="19"/>
      <c r="K22" s="17"/>
      <c r="L22" s="48" t="str">
        <f t="shared" ref="L22:L42" si="1">IF(K22="","",K22*F22)</f>
        <v/>
      </c>
      <c r="M22" s="17"/>
      <c r="N22" s="17"/>
    </row>
    <row r="23" spans="2:14" ht="26.4" x14ac:dyDescent="0.25">
      <c r="B23" s="53" t="s">
        <v>689</v>
      </c>
      <c r="C23" s="15" t="s">
        <v>688</v>
      </c>
      <c r="D23" s="15"/>
      <c r="E23" s="23"/>
      <c r="F23" s="27"/>
      <c r="G23" s="67"/>
      <c r="H23" s="26" t="str">
        <f t="shared" ref="H23:H45" si="2">IF(E23="","",F23*G23)</f>
        <v/>
      </c>
      <c r="I23" s="71"/>
      <c r="K23" s="67"/>
      <c r="L23" s="48" t="str">
        <f t="shared" si="1"/>
        <v/>
      </c>
      <c r="M23" s="67"/>
      <c r="N23" s="67"/>
    </row>
    <row r="24" spans="2:14" x14ac:dyDescent="0.25">
      <c r="B24" s="66"/>
      <c r="C24" s="15"/>
      <c r="D24" s="15"/>
      <c r="E24" s="16"/>
      <c r="F24" s="16"/>
      <c r="G24" s="17"/>
      <c r="H24" s="26" t="str">
        <f t="shared" si="2"/>
        <v/>
      </c>
      <c r="I24" s="19"/>
      <c r="K24" s="17"/>
      <c r="L24" s="48" t="str">
        <f t="shared" si="1"/>
        <v/>
      </c>
      <c r="M24" s="17"/>
      <c r="N24" s="17"/>
    </row>
    <row r="25" spans="2:14" x14ac:dyDescent="0.25">
      <c r="B25" s="53" t="s">
        <v>687</v>
      </c>
      <c r="C25" s="28" t="s">
        <v>686</v>
      </c>
      <c r="D25" s="146"/>
      <c r="E25" s="69"/>
      <c r="F25" s="16"/>
      <c r="G25" s="72"/>
      <c r="H25" s="26" t="str">
        <f t="shared" si="2"/>
        <v/>
      </c>
      <c r="I25" s="77"/>
      <c r="K25" s="72"/>
      <c r="L25" s="48" t="str">
        <f t="shared" si="1"/>
        <v/>
      </c>
      <c r="M25" s="72"/>
      <c r="N25" s="72"/>
    </row>
    <row r="26" spans="2:14" x14ac:dyDescent="0.25">
      <c r="B26" s="66"/>
      <c r="C26" s="28"/>
      <c r="D26" s="146"/>
      <c r="E26" s="69"/>
      <c r="F26" s="16"/>
      <c r="G26" s="72"/>
      <c r="H26" s="26" t="str">
        <f t="shared" si="2"/>
        <v/>
      </c>
      <c r="I26" s="71"/>
      <c r="K26" s="72"/>
      <c r="L26" s="48" t="str">
        <f t="shared" si="1"/>
        <v/>
      </c>
      <c r="M26" s="72"/>
      <c r="N26" s="72"/>
    </row>
    <row r="27" spans="2:14" ht="13.8" x14ac:dyDescent="0.25">
      <c r="B27" s="66" t="s">
        <v>49</v>
      </c>
      <c r="C27" s="15" t="s">
        <v>683</v>
      </c>
      <c r="D27" s="23" t="s">
        <v>1602</v>
      </c>
      <c r="E27" s="23" t="s">
        <v>601</v>
      </c>
      <c r="F27" s="16">
        <v>100</v>
      </c>
      <c r="G27" s="72"/>
      <c r="H27" s="26">
        <f t="shared" si="2"/>
        <v>0</v>
      </c>
      <c r="I27" s="19"/>
      <c r="K27" s="25">
        <f>_LabourDaily/2.5</f>
        <v>127.42400000000001</v>
      </c>
      <c r="L27" s="48">
        <f t="shared" si="1"/>
        <v>12742.400000000001</v>
      </c>
      <c r="M27" s="72"/>
      <c r="N27" s="72"/>
    </row>
    <row r="28" spans="2:14" x14ac:dyDescent="0.25">
      <c r="B28" s="66"/>
      <c r="C28" s="15"/>
      <c r="D28" s="15"/>
      <c r="E28" s="16"/>
      <c r="F28" s="16"/>
      <c r="G28" s="72"/>
      <c r="H28" s="26" t="str">
        <f t="shared" si="2"/>
        <v/>
      </c>
      <c r="I28" s="19"/>
      <c r="K28" s="72"/>
      <c r="L28" s="48" t="str">
        <f t="shared" si="1"/>
        <v/>
      </c>
      <c r="M28" s="72"/>
      <c r="N28" s="72"/>
    </row>
    <row r="29" spans="2:14" ht="13.8" x14ac:dyDescent="0.25">
      <c r="B29" s="91" t="s">
        <v>51</v>
      </c>
      <c r="C29" s="15" t="s">
        <v>682</v>
      </c>
      <c r="D29" s="23" t="s">
        <v>1602</v>
      </c>
      <c r="E29" s="23" t="s">
        <v>601</v>
      </c>
      <c r="F29" s="16">
        <v>20</v>
      </c>
      <c r="G29" s="75"/>
      <c r="H29" s="26">
        <f t="shared" si="2"/>
        <v>0</v>
      </c>
      <c r="I29" s="19"/>
      <c r="K29" s="25">
        <f>_LabourDaily/2.5</f>
        <v>127.42400000000001</v>
      </c>
      <c r="L29" s="48">
        <f t="shared" si="1"/>
        <v>2548.48</v>
      </c>
      <c r="M29" s="75"/>
      <c r="N29" s="75"/>
    </row>
    <row r="30" spans="2:14" x14ac:dyDescent="0.25">
      <c r="B30" s="66"/>
      <c r="C30" s="15"/>
      <c r="D30" s="15"/>
      <c r="E30" s="16"/>
      <c r="F30" s="16"/>
      <c r="G30" s="72"/>
      <c r="H30" s="26" t="str">
        <f t="shared" si="2"/>
        <v/>
      </c>
      <c r="I30" s="19"/>
      <c r="K30" s="72"/>
      <c r="L30" s="48" t="str">
        <f t="shared" si="1"/>
        <v/>
      </c>
      <c r="M30" s="72"/>
      <c r="N30" s="72"/>
    </row>
    <row r="31" spans="2:14" ht="26.4" x14ac:dyDescent="0.25">
      <c r="B31" s="53" t="s">
        <v>685</v>
      </c>
      <c r="C31" s="29" t="s">
        <v>684</v>
      </c>
      <c r="D31" s="147"/>
      <c r="E31" s="69"/>
      <c r="F31" s="16"/>
      <c r="G31" s="72"/>
      <c r="H31" s="26" t="str">
        <f t="shared" si="2"/>
        <v/>
      </c>
      <c r="I31" s="19"/>
      <c r="K31" s="72"/>
      <c r="L31" s="48" t="str">
        <f t="shared" si="1"/>
        <v/>
      </c>
      <c r="M31" s="72"/>
      <c r="N31" s="72"/>
    </row>
    <row r="32" spans="2:14" x14ac:dyDescent="0.25">
      <c r="B32" s="66"/>
      <c r="C32" s="28"/>
      <c r="D32" s="146"/>
      <c r="E32" s="69"/>
      <c r="F32" s="16"/>
      <c r="G32" s="72"/>
      <c r="H32" s="26" t="str">
        <f t="shared" si="2"/>
        <v/>
      </c>
      <c r="K32" s="72"/>
      <c r="L32" s="48" t="str">
        <f t="shared" si="1"/>
        <v/>
      </c>
      <c r="M32" s="72"/>
      <c r="N32" s="72"/>
    </row>
    <row r="33" spans="2:14" ht="13.8" x14ac:dyDescent="0.25">
      <c r="B33" s="66" t="s">
        <v>49</v>
      </c>
      <c r="C33" s="15" t="s">
        <v>683</v>
      </c>
      <c r="D33" s="23" t="s">
        <v>1602</v>
      </c>
      <c r="E33" s="23" t="s">
        <v>601</v>
      </c>
      <c r="F33" s="16">
        <v>10</v>
      </c>
      <c r="G33" s="72"/>
      <c r="H33" s="26">
        <f t="shared" si="2"/>
        <v>0</v>
      </c>
      <c r="K33" s="25">
        <f>_LabourDaily/2.5</f>
        <v>127.42400000000001</v>
      </c>
      <c r="L33" s="48">
        <f t="shared" si="1"/>
        <v>1274.24</v>
      </c>
      <c r="M33" s="72"/>
      <c r="N33" s="72"/>
    </row>
    <row r="34" spans="2:14" x14ac:dyDescent="0.25">
      <c r="B34" s="66"/>
      <c r="C34" s="15"/>
      <c r="D34" s="15"/>
      <c r="E34" s="16"/>
      <c r="F34" s="16"/>
      <c r="G34" s="72"/>
      <c r="H34" s="26" t="str">
        <f t="shared" si="2"/>
        <v/>
      </c>
      <c r="K34" s="72"/>
      <c r="L34" s="48" t="str">
        <f t="shared" si="1"/>
        <v/>
      </c>
      <c r="M34" s="72"/>
      <c r="N34" s="72"/>
    </row>
    <row r="35" spans="2:14" ht="13.8" x14ac:dyDescent="0.25">
      <c r="B35" s="91" t="s">
        <v>51</v>
      </c>
      <c r="C35" s="15" t="s">
        <v>682</v>
      </c>
      <c r="D35" s="23" t="s">
        <v>1602</v>
      </c>
      <c r="E35" s="23" t="s">
        <v>601</v>
      </c>
      <c r="F35" s="16">
        <v>5</v>
      </c>
      <c r="G35" s="17"/>
      <c r="H35" s="26">
        <f t="shared" si="2"/>
        <v>0</v>
      </c>
      <c r="K35" s="25">
        <f>_LabourDaily/2.5</f>
        <v>127.42400000000001</v>
      </c>
      <c r="L35" s="48">
        <f t="shared" si="1"/>
        <v>637.12</v>
      </c>
      <c r="M35" s="17"/>
      <c r="N35" s="17"/>
    </row>
    <row r="36" spans="2:14" x14ac:dyDescent="0.25">
      <c r="B36" s="53"/>
      <c r="C36" s="15"/>
      <c r="D36" s="15"/>
      <c r="E36" s="16"/>
      <c r="F36" s="16"/>
      <c r="G36" s="17"/>
      <c r="H36" s="26" t="str">
        <f t="shared" si="2"/>
        <v/>
      </c>
      <c r="K36" s="17"/>
      <c r="L36" s="48" t="str">
        <f t="shared" si="1"/>
        <v/>
      </c>
      <c r="M36" s="17"/>
      <c r="N36" s="17"/>
    </row>
    <row r="37" spans="2:14" x14ac:dyDescent="0.25">
      <c r="B37" s="53" t="s">
        <v>681</v>
      </c>
      <c r="C37" s="15" t="s">
        <v>680</v>
      </c>
      <c r="D37" s="15"/>
      <c r="E37" s="23"/>
      <c r="F37" s="27"/>
      <c r="G37" s="67"/>
      <c r="H37" s="26"/>
      <c r="K37" s="67"/>
      <c r="L37" s="48" t="str">
        <f t="shared" si="1"/>
        <v/>
      </c>
      <c r="M37" s="67"/>
      <c r="N37" s="67"/>
    </row>
    <row r="38" spans="2:14" x14ac:dyDescent="0.25">
      <c r="B38" s="66"/>
      <c r="C38" s="15"/>
      <c r="D38" s="15"/>
      <c r="E38" s="16"/>
      <c r="F38" s="27"/>
      <c r="G38" s="70"/>
      <c r="H38" s="26" t="str">
        <f>IF(E38="","",F38*G38)</f>
        <v/>
      </c>
      <c r="K38" s="70"/>
      <c r="L38" s="48" t="str">
        <f t="shared" si="1"/>
        <v/>
      </c>
      <c r="M38" s="70"/>
      <c r="N38" s="70"/>
    </row>
    <row r="39" spans="2:14" ht="26.4" x14ac:dyDescent="0.25">
      <c r="B39" s="53" t="s">
        <v>679</v>
      </c>
      <c r="C39" s="15" t="s">
        <v>678</v>
      </c>
      <c r="D39" s="15"/>
      <c r="E39" s="23"/>
      <c r="F39" s="27"/>
      <c r="G39" s="17"/>
      <c r="H39" s="26"/>
      <c r="K39" s="17"/>
      <c r="L39" s="48" t="str">
        <f t="shared" si="1"/>
        <v/>
      </c>
      <c r="M39" s="17"/>
      <c r="N39" s="17"/>
    </row>
    <row r="40" spans="2:14" x14ac:dyDescent="0.25">
      <c r="B40" s="66"/>
      <c r="C40" s="15"/>
      <c r="D40" s="15"/>
      <c r="E40" s="16"/>
      <c r="F40" s="27"/>
      <c r="G40" s="17"/>
      <c r="H40" s="26" t="str">
        <f>IF(E40="","",F40*G40)</f>
        <v/>
      </c>
      <c r="K40" s="17"/>
      <c r="L40" s="48" t="str">
        <f t="shared" si="1"/>
        <v/>
      </c>
      <c r="M40" s="17"/>
      <c r="N40" s="17"/>
    </row>
    <row r="41" spans="2:14" ht="13.8" x14ac:dyDescent="0.25">
      <c r="B41" s="53" t="s">
        <v>49</v>
      </c>
      <c r="C41" s="15" t="s">
        <v>677</v>
      </c>
      <c r="D41" s="23" t="s">
        <v>1602</v>
      </c>
      <c r="E41" s="23" t="s">
        <v>601</v>
      </c>
      <c r="F41" s="27">
        <v>150</v>
      </c>
      <c r="G41" s="72"/>
      <c r="H41" s="26">
        <f>IF(E41="","",F41*G41)</f>
        <v>0</v>
      </c>
      <c r="K41" s="25">
        <f>_LabourDaily/2.5</f>
        <v>127.42400000000001</v>
      </c>
      <c r="L41" s="48">
        <f t="shared" si="1"/>
        <v>19113.600000000002</v>
      </c>
      <c r="M41" s="72"/>
      <c r="N41" s="72"/>
    </row>
    <row r="42" spans="2:14" x14ac:dyDescent="0.25">
      <c r="B42" s="66"/>
      <c r="C42" s="15"/>
      <c r="D42" s="15"/>
      <c r="E42" s="23"/>
      <c r="F42" s="27"/>
      <c r="G42" s="67"/>
      <c r="H42" s="26" t="str">
        <f t="shared" si="2"/>
        <v/>
      </c>
      <c r="K42" s="67"/>
      <c r="L42" s="48" t="str">
        <f t="shared" si="1"/>
        <v/>
      </c>
      <c r="M42" s="67"/>
      <c r="N42" s="67"/>
    </row>
    <row r="43" spans="2:14" x14ac:dyDescent="0.25">
      <c r="B43" s="66"/>
      <c r="C43" s="15"/>
      <c r="D43" s="15"/>
      <c r="E43" s="23"/>
      <c r="F43" s="27"/>
      <c r="G43" s="67"/>
      <c r="H43" s="26" t="str">
        <f t="shared" si="2"/>
        <v/>
      </c>
      <c r="K43" s="67"/>
      <c r="L43" s="67"/>
      <c r="M43" s="67"/>
      <c r="N43" s="67"/>
    </row>
    <row r="44" spans="2:14" x14ac:dyDescent="0.25">
      <c r="B44" s="66"/>
      <c r="C44" s="15"/>
      <c r="D44" s="15"/>
      <c r="E44" s="23"/>
      <c r="F44" s="27"/>
      <c r="G44" s="67"/>
      <c r="H44" s="26" t="str">
        <f t="shared" si="2"/>
        <v/>
      </c>
      <c r="K44" s="67"/>
      <c r="L44" s="67"/>
      <c r="M44" s="67"/>
      <c r="N44" s="67"/>
    </row>
    <row r="45" spans="2:14" x14ac:dyDescent="0.25">
      <c r="B45" s="66"/>
      <c r="C45" s="15"/>
      <c r="D45" s="15"/>
      <c r="E45" s="16"/>
      <c r="F45" s="27"/>
      <c r="G45" s="17"/>
      <c r="H45" s="26" t="str">
        <f t="shared" si="2"/>
        <v/>
      </c>
      <c r="K45" s="17"/>
      <c r="L45" s="17"/>
      <c r="M45" s="17"/>
      <c r="N45" s="17"/>
    </row>
    <row r="46" spans="2:14" s="31" customFormat="1" ht="20.100000000000001" customHeight="1" x14ac:dyDescent="0.25">
      <c r="B46" s="151" t="str">
        <f>$B$11</f>
        <v>C2.1</v>
      </c>
      <c r="C46" s="33" t="str">
        <f>"TOTAL CARRIED FORWARD"&amp;IF(H46=H$1," TO SUMMARY (Page C"&amp;Page_A&amp;")","")</f>
        <v>TOTAL CARRIED FORWARD TO SUMMARY (Page C57)</v>
      </c>
      <c r="D46" s="33"/>
      <c r="E46" s="34"/>
      <c r="F46" s="35"/>
      <c r="G46" s="34"/>
      <c r="H46" s="36">
        <f>SUM(H10:H45)</f>
        <v>20000</v>
      </c>
      <c r="I46" s="37"/>
      <c r="K46" s="34"/>
      <c r="L46" s="36">
        <f>SUM(L10:L45)</f>
        <v>68171.840000000011</v>
      </c>
      <c r="M46" s="34"/>
      <c r="N46" s="34"/>
    </row>
  </sheetData>
  <mergeCells count="4">
    <mergeCell ref="F2:H2"/>
    <mergeCell ref="H5:H8"/>
    <mergeCell ref="B5:G5"/>
    <mergeCell ref="B6:G8"/>
  </mergeCells>
  <pageMargins left="0.62992125984251968" right="0.43307086614173229" top="0.62992125984251968" bottom="0.55118110236220474" header="0.51181102362204722" footer="0.31496062992125984"/>
  <pageSetup paperSize="9" scale="75" firstPageNumber="29" fitToHeight="0"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17B1C-E057-4550-B866-891B453A819C}">
  <sheetPr codeName="Sheet69">
    <tabColor rgb="FF92D050"/>
  </sheetPr>
  <dimension ref="B1:N46"/>
  <sheetViews>
    <sheetView view="pageBreakPreview" zoomScaleNormal="125" zoomScaleSheetLayoutView="100" zoomScalePageLayoutView="125" workbookViewId="0">
      <pane xSplit="5" ySplit="2" topLeftCell="F3" activePane="bottomRight" state="frozen"/>
      <selection activeCell="D114" sqref="D114"/>
      <selection pane="topRight" activeCell="D114" sqref="D114"/>
      <selection pane="bottomLeft" activeCell="D114" sqref="D114"/>
      <selection pane="bottomRight" activeCell="G11" sqref="G11"/>
    </sheetView>
  </sheetViews>
  <sheetFormatPr defaultColWidth="8.6640625" defaultRowHeight="13.2" x14ac:dyDescent="0.25"/>
  <cols>
    <col min="1" max="1" width="0.6640625" style="1" customWidth="1"/>
    <col min="2" max="2" width="11.5546875" style="38" customWidth="1"/>
    <col min="3" max="3" width="45.5546875" style="3" customWidth="1"/>
    <col min="4" max="4" width="4.4414062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0" width="8.6640625" style="1"/>
    <col min="11" max="14" width="15.5546875" style="1" customWidth="1"/>
    <col min="15" max="16384" width="8.6640625" style="1"/>
  </cols>
  <sheetData>
    <row r="1" spans="2:14" x14ac:dyDescent="0.25">
      <c r="H1" s="234">
        <f>MAX(H9:H500)</f>
        <v>0</v>
      </c>
    </row>
    <row r="2" spans="2:14" x14ac:dyDescent="0.25">
      <c r="B2" s="2" t="str">
        <f>Client1</f>
        <v>Province of KwaZulu-Natal</v>
      </c>
      <c r="F2" s="510" t="str">
        <f>"Contract No. "&amp;ContractNo</f>
        <v>Contract No. ZNB02215/00000/00/HOD/INF/23/T</v>
      </c>
      <c r="G2" s="510"/>
      <c r="H2" s="510"/>
      <c r="K2" s="402"/>
      <c r="L2" s="402">
        <f>MAX(L3:L245)</f>
        <v>7893</v>
      </c>
      <c r="M2" s="402"/>
      <c r="N2" s="403"/>
    </row>
    <row r="3" spans="2:14" x14ac:dyDescent="0.25">
      <c r="B3" s="96" t="str">
        <f>Client2</f>
        <v>Department of Transport</v>
      </c>
      <c r="K3" s="1" t="s">
        <v>1421</v>
      </c>
      <c r="L3" s="1" t="s">
        <v>1422</v>
      </c>
      <c r="M3" s="1" t="s">
        <v>1423</v>
      </c>
      <c r="N3" s="1" t="s">
        <v>1424</v>
      </c>
    </row>
    <row r="4" spans="2:14" x14ac:dyDescent="0.25">
      <c r="B4" s="3"/>
    </row>
    <row r="5" spans="2:14" ht="12.75" customHeight="1" x14ac:dyDescent="0.25">
      <c r="B5" s="507" t="s">
        <v>8</v>
      </c>
      <c r="C5" s="508"/>
      <c r="D5" s="508"/>
      <c r="E5" s="508"/>
      <c r="F5" s="508"/>
      <c r="G5" s="508"/>
      <c r="H5" s="512" t="str">
        <f>"CHAPTER "&amp;B11</f>
        <v>CHAPTER C2.2</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13"/>
      <c r="I6" s="9"/>
    </row>
    <row r="7" spans="2:14" ht="12.75" customHeight="1" x14ac:dyDescent="0.25">
      <c r="B7" s="500"/>
      <c r="C7" s="501"/>
      <c r="D7" s="501"/>
      <c r="E7" s="501"/>
      <c r="F7" s="501"/>
      <c r="G7" s="501"/>
      <c r="H7" s="513"/>
      <c r="I7" s="9"/>
    </row>
    <row r="8" spans="2:14" s="10" customFormat="1" ht="7.5" customHeight="1" x14ac:dyDescent="0.25">
      <c r="B8" s="502"/>
      <c r="C8" s="503"/>
      <c r="D8" s="503"/>
      <c r="E8" s="503"/>
      <c r="F8" s="503"/>
      <c r="G8" s="503"/>
      <c r="H8" s="514"/>
      <c r="I8" s="13"/>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53"/>
      <c r="C10" s="15"/>
      <c r="D10" s="15"/>
      <c r="E10" s="16"/>
      <c r="F10" s="16"/>
      <c r="G10" s="17"/>
      <c r="H10" s="18" t="str">
        <f t="shared" ref="H10:H20" si="0">IF(E10="","",F10*G10)</f>
        <v/>
      </c>
      <c r="I10" s="19"/>
      <c r="K10" s="17"/>
      <c r="L10" s="17"/>
      <c r="M10" s="17"/>
      <c r="N10" s="17"/>
    </row>
    <row r="11" spans="2:14" x14ac:dyDescent="0.25">
      <c r="B11" s="80" t="s">
        <v>716</v>
      </c>
      <c r="C11" s="21" t="s">
        <v>715</v>
      </c>
      <c r="D11" s="21"/>
      <c r="E11" s="16"/>
      <c r="F11" s="16"/>
      <c r="G11" s="17"/>
      <c r="H11" s="18" t="str">
        <f t="shared" si="0"/>
        <v/>
      </c>
      <c r="I11" s="19"/>
      <c r="K11" s="17"/>
      <c r="L11" s="17"/>
      <c r="M11" s="17"/>
      <c r="N11" s="17"/>
    </row>
    <row r="12" spans="2:14" x14ac:dyDescent="0.25">
      <c r="B12" s="53"/>
      <c r="C12" s="15"/>
      <c r="D12" s="15"/>
      <c r="E12" s="16"/>
      <c r="F12" s="16"/>
      <c r="G12" s="70"/>
      <c r="H12" s="18" t="str">
        <f t="shared" si="0"/>
        <v/>
      </c>
      <c r="I12" s="19"/>
      <c r="K12" s="70"/>
      <c r="L12" s="48" t="str">
        <f t="shared" ref="L12:L34" si="1">IF(K12="","",K12*F12)</f>
        <v/>
      </c>
      <c r="M12" s="70"/>
      <c r="N12" s="70"/>
    </row>
    <row r="13" spans="2:14" x14ac:dyDescent="0.25">
      <c r="B13" s="53" t="s">
        <v>699</v>
      </c>
      <c r="C13" s="15" t="s">
        <v>714</v>
      </c>
      <c r="D13" s="15"/>
      <c r="E13" s="16"/>
      <c r="F13" s="16"/>
      <c r="G13" s="70"/>
      <c r="H13" s="18" t="str">
        <f t="shared" si="0"/>
        <v/>
      </c>
      <c r="I13" s="19"/>
      <c r="K13" s="70"/>
      <c r="L13" s="48" t="str">
        <f t="shared" si="1"/>
        <v/>
      </c>
      <c r="M13" s="70"/>
      <c r="N13" s="70"/>
    </row>
    <row r="14" spans="2:14" x14ac:dyDescent="0.25">
      <c r="B14" s="53"/>
      <c r="C14" s="15"/>
      <c r="D14" s="15"/>
      <c r="E14" s="16"/>
      <c r="F14" s="16"/>
      <c r="G14" s="70"/>
      <c r="H14" s="18" t="str">
        <f t="shared" si="0"/>
        <v/>
      </c>
      <c r="I14" s="19"/>
      <c r="K14" s="70"/>
      <c r="L14" s="48" t="str">
        <f t="shared" si="1"/>
        <v/>
      </c>
      <c r="M14" s="70"/>
      <c r="N14" s="70"/>
    </row>
    <row r="15" spans="2:14" x14ac:dyDescent="0.25">
      <c r="B15" s="53" t="s">
        <v>713</v>
      </c>
      <c r="C15" s="15" t="s">
        <v>1107</v>
      </c>
      <c r="D15" s="15"/>
      <c r="E15" s="23"/>
      <c r="F15" s="24"/>
      <c r="G15" s="70"/>
      <c r="H15" s="26" t="str">
        <f t="shared" si="0"/>
        <v/>
      </c>
      <c r="I15" s="65"/>
      <c r="K15" s="70"/>
      <c r="L15" s="48" t="str">
        <f t="shared" si="1"/>
        <v/>
      </c>
      <c r="M15" s="70"/>
      <c r="N15" s="70"/>
    </row>
    <row r="16" spans="2:14" x14ac:dyDescent="0.25">
      <c r="B16" s="53"/>
      <c r="C16" s="15"/>
      <c r="D16" s="15"/>
      <c r="E16" s="16"/>
      <c r="F16" s="27"/>
      <c r="G16" s="70"/>
      <c r="H16" s="26" t="str">
        <f t="shared" si="0"/>
        <v/>
      </c>
      <c r="I16" s="19"/>
      <c r="K16" s="70"/>
      <c r="L16" s="48" t="str">
        <f t="shared" si="1"/>
        <v/>
      </c>
      <c r="M16" s="70"/>
      <c r="N16" s="70"/>
    </row>
    <row r="17" spans="2:14" x14ac:dyDescent="0.25">
      <c r="B17" s="53" t="s">
        <v>49</v>
      </c>
      <c r="C17" s="15" t="s">
        <v>1105</v>
      </c>
      <c r="D17" s="15"/>
      <c r="E17" s="23" t="s">
        <v>6</v>
      </c>
      <c r="F17" s="27">
        <v>50</v>
      </c>
      <c r="G17" s="70"/>
      <c r="H17" s="26">
        <f t="shared" si="0"/>
        <v>0</v>
      </c>
      <c r="I17" s="19"/>
      <c r="K17" s="408" cm="1">
        <f t="array" ref="K17">_Subsoil</f>
        <v>8</v>
      </c>
      <c r="L17" s="48">
        <f t="shared" si="1"/>
        <v>400</v>
      </c>
      <c r="M17" s="70"/>
      <c r="N17" s="70"/>
    </row>
    <row r="18" spans="2:14" x14ac:dyDescent="0.25">
      <c r="B18" s="53"/>
      <c r="C18" s="15"/>
      <c r="D18" s="15"/>
      <c r="E18" s="16"/>
      <c r="F18" s="27"/>
      <c r="G18" s="70"/>
      <c r="H18" s="26" t="str">
        <f t="shared" si="0"/>
        <v/>
      </c>
      <c r="I18" s="68"/>
      <c r="K18" s="70"/>
      <c r="L18" s="48" t="str">
        <f t="shared" si="1"/>
        <v/>
      </c>
      <c r="M18" s="70"/>
      <c r="N18" s="70"/>
    </row>
    <row r="19" spans="2:14" x14ac:dyDescent="0.25">
      <c r="B19" s="53" t="s">
        <v>51</v>
      </c>
      <c r="C19" s="29" t="s">
        <v>1106</v>
      </c>
      <c r="D19" s="147"/>
      <c r="E19" s="23" t="s">
        <v>6</v>
      </c>
      <c r="F19" s="27">
        <v>50</v>
      </c>
      <c r="G19" s="70"/>
      <c r="H19" s="26">
        <f t="shared" si="0"/>
        <v>0</v>
      </c>
      <c r="I19" s="71"/>
      <c r="K19" s="408" cm="1">
        <f t="array" ref="K19">_Subsoil</f>
        <v>8</v>
      </c>
      <c r="L19" s="48">
        <f t="shared" si="1"/>
        <v>400</v>
      </c>
      <c r="M19" s="70"/>
      <c r="N19" s="70"/>
    </row>
    <row r="20" spans="2:14" x14ac:dyDescent="0.25">
      <c r="B20" s="53"/>
      <c r="C20" s="28"/>
      <c r="D20" s="146"/>
      <c r="E20" s="69"/>
      <c r="F20" s="27"/>
      <c r="G20" s="70"/>
      <c r="H20" s="26" t="str">
        <f t="shared" si="0"/>
        <v/>
      </c>
      <c r="I20" s="71"/>
      <c r="K20" s="70"/>
      <c r="L20" s="48" t="str">
        <f t="shared" si="1"/>
        <v/>
      </c>
      <c r="M20" s="70"/>
      <c r="N20" s="70"/>
    </row>
    <row r="21" spans="2:14" x14ac:dyDescent="0.25">
      <c r="B21" s="53"/>
      <c r="C21" s="15"/>
      <c r="D21" s="15"/>
      <c r="E21" s="16"/>
      <c r="F21" s="16"/>
      <c r="G21" s="70"/>
      <c r="H21" s="18" t="str">
        <f t="shared" ref="H21:H35" si="2">IF(E21="","",F21*G21)</f>
        <v/>
      </c>
      <c r="K21" s="70"/>
      <c r="L21" s="48" t="str">
        <f t="shared" si="1"/>
        <v/>
      </c>
      <c r="M21" s="70"/>
      <c r="N21" s="70"/>
    </row>
    <row r="22" spans="2:14" ht="26.4" x14ac:dyDescent="0.25">
      <c r="B22" s="53" t="s">
        <v>712</v>
      </c>
      <c r="C22" s="29" t="s">
        <v>711</v>
      </c>
      <c r="D22" s="147"/>
      <c r="E22" s="16"/>
      <c r="F22" s="16"/>
      <c r="G22" s="70"/>
      <c r="H22" s="18" t="str">
        <f t="shared" si="2"/>
        <v/>
      </c>
      <c r="K22" s="70"/>
      <c r="L22" s="48" t="str">
        <f t="shared" si="1"/>
        <v/>
      </c>
      <c r="M22" s="70"/>
      <c r="N22" s="70"/>
    </row>
    <row r="23" spans="2:14" x14ac:dyDescent="0.25">
      <c r="B23" s="53"/>
      <c r="C23" s="15"/>
      <c r="D23" s="15"/>
      <c r="E23" s="16"/>
      <c r="F23" s="16"/>
      <c r="G23" s="70"/>
      <c r="H23" s="18" t="str">
        <f t="shared" si="2"/>
        <v/>
      </c>
      <c r="K23" s="70"/>
      <c r="L23" s="48" t="str">
        <f t="shared" si="1"/>
        <v/>
      </c>
      <c r="M23" s="70"/>
      <c r="N23" s="70"/>
    </row>
    <row r="24" spans="2:14" ht="13.8" x14ac:dyDescent="0.25">
      <c r="B24" s="53" t="s">
        <v>710</v>
      </c>
      <c r="C24" s="15" t="s">
        <v>709</v>
      </c>
      <c r="D24" s="15"/>
      <c r="E24" s="23" t="s">
        <v>601</v>
      </c>
      <c r="F24" s="16">
        <v>10</v>
      </c>
      <c r="G24" s="70"/>
      <c r="H24" s="18">
        <f t="shared" si="2"/>
        <v>0</v>
      </c>
      <c r="K24" s="70">
        <f>_Wacker</f>
        <v>13.3</v>
      </c>
      <c r="L24" s="48">
        <f t="shared" si="1"/>
        <v>133</v>
      </c>
      <c r="M24" s="70"/>
      <c r="N24" s="70"/>
    </row>
    <row r="25" spans="2:14" x14ac:dyDescent="0.25">
      <c r="B25" s="53"/>
      <c r="C25" s="15"/>
      <c r="D25" s="15"/>
      <c r="E25" s="16"/>
      <c r="F25" s="27"/>
      <c r="G25" s="70"/>
      <c r="H25" s="26" t="str">
        <f t="shared" si="2"/>
        <v/>
      </c>
      <c r="K25" s="70"/>
      <c r="L25" s="48" t="str">
        <f t="shared" si="1"/>
        <v/>
      </c>
      <c r="M25" s="70"/>
      <c r="N25" s="70"/>
    </row>
    <row r="26" spans="2:14" x14ac:dyDescent="0.25">
      <c r="B26" s="53" t="s">
        <v>708</v>
      </c>
      <c r="C26" s="15" t="s">
        <v>707</v>
      </c>
      <c r="D26" s="15"/>
      <c r="E26" s="23"/>
      <c r="F26" s="27"/>
      <c r="G26" s="30"/>
      <c r="H26" s="26" t="str">
        <f t="shared" si="2"/>
        <v/>
      </c>
      <c r="K26" s="30"/>
      <c r="L26" s="48" t="str">
        <f t="shared" si="1"/>
        <v/>
      </c>
      <c r="M26" s="30"/>
      <c r="N26" s="30"/>
    </row>
    <row r="27" spans="2:14" x14ac:dyDescent="0.25">
      <c r="B27" s="53"/>
      <c r="C27" s="15"/>
      <c r="D27" s="15"/>
      <c r="E27" s="16"/>
      <c r="F27" s="27"/>
      <c r="G27" s="30"/>
      <c r="H27" s="26" t="str">
        <f t="shared" si="2"/>
        <v/>
      </c>
      <c r="K27" s="30"/>
      <c r="L27" s="48" t="str">
        <f t="shared" si="1"/>
        <v/>
      </c>
      <c r="M27" s="30"/>
      <c r="N27" s="30"/>
    </row>
    <row r="28" spans="2:14" ht="26.4" x14ac:dyDescent="0.25">
      <c r="B28" s="53" t="s">
        <v>706</v>
      </c>
      <c r="C28" s="15" t="s">
        <v>1108</v>
      </c>
      <c r="D28" s="23" t="s">
        <v>1602</v>
      </c>
      <c r="E28" s="23" t="s">
        <v>601</v>
      </c>
      <c r="F28" s="27">
        <v>10</v>
      </c>
      <c r="G28" s="72"/>
      <c r="H28" s="26">
        <f t="shared" si="2"/>
        <v>0</v>
      </c>
      <c r="K28" s="72" cm="1">
        <f t="array" ref="K28">_Mix+_Place</f>
        <v>696</v>
      </c>
      <c r="L28" s="48">
        <f t="shared" si="1"/>
        <v>6960</v>
      </c>
      <c r="M28" s="72"/>
      <c r="N28" s="72"/>
    </row>
    <row r="29" spans="2:14" x14ac:dyDescent="0.25">
      <c r="B29" s="53"/>
      <c r="C29" s="15"/>
      <c r="D29" s="15"/>
      <c r="E29" s="16"/>
      <c r="F29" s="16"/>
      <c r="G29" s="17"/>
      <c r="H29" s="26" t="str">
        <f t="shared" si="2"/>
        <v/>
      </c>
      <c r="K29" s="17"/>
      <c r="L29" s="48" t="str">
        <f t="shared" si="1"/>
        <v/>
      </c>
      <c r="M29" s="17"/>
      <c r="N29" s="17"/>
    </row>
    <row r="30" spans="2:14" ht="26.4" x14ac:dyDescent="0.25">
      <c r="B30" s="53" t="s">
        <v>705</v>
      </c>
      <c r="C30" s="29" t="s">
        <v>704</v>
      </c>
      <c r="D30" s="147"/>
      <c r="E30" s="69"/>
      <c r="F30" s="16"/>
      <c r="G30" s="72"/>
      <c r="H30" s="26" t="str">
        <f t="shared" si="2"/>
        <v/>
      </c>
      <c r="K30" s="72"/>
      <c r="L30" s="48" t="str">
        <f t="shared" si="1"/>
        <v/>
      </c>
      <c r="M30" s="72"/>
      <c r="N30" s="72"/>
    </row>
    <row r="31" spans="2:14" x14ac:dyDescent="0.25">
      <c r="B31" s="53"/>
      <c r="C31" s="28"/>
      <c r="D31" s="146"/>
      <c r="E31" s="69"/>
      <c r="F31" s="16"/>
      <c r="G31" s="72"/>
      <c r="H31" s="26" t="str">
        <f t="shared" si="2"/>
        <v/>
      </c>
      <c r="K31" s="72"/>
      <c r="L31" s="48" t="str">
        <f t="shared" si="1"/>
        <v/>
      </c>
      <c r="M31" s="72"/>
      <c r="N31" s="72"/>
    </row>
    <row r="32" spans="2:14" ht="26.4" x14ac:dyDescent="0.25">
      <c r="B32" s="53" t="s">
        <v>703</v>
      </c>
      <c r="C32" s="15" t="s">
        <v>1109</v>
      </c>
      <c r="D32" s="15"/>
      <c r="E32" s="23" t="s">
        <v>44</v>
      </c>
      <c r="F32" s="16">
        <v>20</v>
      </c>
      <c r="G32" s="72"/>
      <c r="H32" s="26">
        <f t="shared" si="2"/>
        <v>0</v>
      </c>
      <c r="K32" s="72">
        <f>5%*G32</f>
        <v>0</v>
      </c>
      <c r="L32" s="48">
        <f t="shared" si="1"/>
        <v>0</v>
      </c>
      <c r="M32" s="72"/>
      <c r="N32" s="72"/>
    </row>
    <row r="33" spans="2:14" x14ac:dyDescent="0.25">
      <c r="B33" s="53"/>
      <c r="C33" s="15"/>
      <c r="D33" s="15"/>
      <c r="E33" s="16"/>
      <c r="F33" s="16"/>
      <c r="G33" s="72"/>
      <c r="H33" s="26" t="str">
        <f t="shared" si="2"/>
        <v/>
      </c>
      <c r="K33" s="72"/>
      <c r="L33" s="48" t="str">
        <f t="shared" si="1"/>
        <v/>
      </c>
      <c r="M33" s="72"/>
      <c r="N33" s="72"/>
    </row>
    <row r="34" spans="2:14" x14ac:dyDescent="0.25">
      <c r="B34" s="53" t="s">
        <v>702</v>
      </c>
      <c r="C34" s="29" t="s">
        <v>1110</v>
      </c>
      <c r="D34" s="147"/>
      <c r="E34" s="69" t="s">
        <v>6</v>
      </c>
      <c r="F34" s="16">
        <v>100</v>
      </c>
      <c r="G34" s="72"/>
      <c r="H34" s="26">
        <f t="shared" si="2"/>
        <v>0</v>
      </c>
      <c r="K34" s="72"/>
      <c r="L34" s="48" t="str">
        <f t="shared" si="1"/>
        <v/>
      </c>
      <c r="M34" s="72"/>
      <c r="N34" s="72"/>
    </row>
    <row r="35" spans="2:14" x14ac:dyDescent="0.25">
      <c r="B35" s="53"/>
      <c r="C35" s="28"/>
      <c r="D35" s="146"/>
      <c r="E35" s="69"/>
      <c r="F35" s="16"/>
      <c r="G35" s="72"/>
      <c r="H35" s="26" t="str">
        <f t="shared" si="2"/>
        <v/>
      </c>
      <c r="K35" s="72"/>
      <c r="L35" s="72"/>
      <c r="M35" s="72"/>
      <c r="N35" s="72"/>
    </row>
    <row r="36" spans="2:14" x14ac:dyDescent="0.25">
      <c r="B36" s="53"/>
      <c r="C36" s="15"/>
      <c r="D36" s="15"/>
      <c r="E36" s="16"/>
      <c r="F36" s="27"/>
      <c r="G36" s="70"/>
      <c r="H36" s="26"/>
      <c r="K36" s="70"/>
      <c r="L36" s="70"/>
      <c r="M36" s="70"/>
      <c r="N36" s="70"/>
    </row>
    <row r="37" spans="2:14" x14ac:dyDescent="0.25">
      <c r="B37" s="53"/>
      <c r="C37" s="15"/>
      <c r="D37" s="15"/>
      <c r="E37" s="23"/>
      <c r="F37" s="27"/>
      <c r="G37" s="70"/>
      <c r="H37" s="26"/>
      <c r="K37" s="70"/>
      <c r="L37" s="70"/>
      <c r="M37" s="70"/>
      <c r="N37" s="70"/>
    </row>
    <row r="38" spans="2:14" x14ac:dyDescent="0.25">
      <c r="B38" s="53"/>
      <c r="C38" s="15"/>
      <c r="D38" s="15"/>
      <c r="E38" s="16"/>
      <c r="F38" s="27"/>
      <c r="G38" s="70"/>
      <c r="H38" s="26"/>
      <c r="K38" s="70"/>
      <c r="L38" s="70"/>
      <c r="M38" s="70"/>
      <c r="N38" s="70"/>
    </row>
    <row r="39" spans="2:14" x14ac:dyDescent="0.25">
      <c r="B39" s="53"/>
      <c r="C39" s="15"/>
      <c r="D39" s="15"/>
      <c r="E39" s="23"/>
      <c r="F39" s="27"/>
      <c r="G39" s="70"/>
      <c r="H39" s="26"/>
      <c r="K39" s="70"/>
      <c r="L39" s="70"/>
      <c r="M39" s="70"/>
      <c r="N39" s="70"/>
    </row>
    <row r="40" spans="2:14" x14ac:dyDescent="0.25">
      <c r="B40" s="53"/>
      <c r="C40" s="15"/>
      <c r="D40" s="15"/>
      <c r="E40" s="16"/>
      <c r="F40" s="27"/>
      <c r="G40" s="70"/>
      <c r="H40" s="26"/>
      <c r="K40" s="70"/>
      <c r="L40" s="70"/>
      <c r="M40" s="70"/>
      <c r="N40" s="70"/>
    </row>
    <row r="41" spans="2:14" x14ac:dyDescent="0.25">
      <c r="B41" s="53"/>
      <c r="C41" s="15"/>
      <c r="D41" s="15"/>
      <c r="E41" s="23"/>
      <c r="F41" s="27"/>
      <c r="G41" s="70"/>
      <c r="H41" s="26"/>
      <c r="K41" s="70"/>
      <c r="L41" s="70"/>
      <c r="M41" s="70"/>
      <c r="N41" s="70"/>
    </row>
    <row r="42" spans="2:14" x14ac:dyDescent="0.25">
      <c r="B42" s="53"/>
      <c r="C42" s="15"/>
      <c r="D42" s="15"/>
      <c r="E42" s="16"/>
      <c r="F42" s="27"/>
      <c r="G42" s="70"/>
      <c r="H42" s="26"/>
      <c r="K42" s="70"/>
      <c r="L42" s="70"/>
      <c r="M42" s="70"/>
      <c r="N42" s="70"/>
    </row>
    <row r="43" spans="2:14" x14ac:dyDescent="0.25">
      <c r="B43" s="53"/>
      <c r="C43" s="15"/>
      <c r="D43" s="15"/>
      <c r="E43" s="23"/>
      <c r="F43" s="27"/>
      <c r="G43" s="70"/>
      <c r="H43" s="26"/>
      <c r="K43" s="70"/>
      <c r="L43" s="70"/>
      <c r="M43" s="70"/>
      <c r="N43" s="70"/>
    </row>
    <row r="44" spans="2:14" x14ac:dyDescent="0.25">
      <c r="B44" s="53"/>
      <c r="C44" s="15"/>
      <c r="D44" s="15"/>
      <c r="E44" s="23"/>
      <c r="F44" s="27"/>
      <c r="G44" s="70"/>
      <c r="H44" s="26"/>
      <c r="K44" s="70"/>
      <c r="L44" s="70"/>
      <c r="M44" s="70"/>
      <c r="N44" s="70"/>
    </row>
    <row r="45" spans="2:14" x14ac:dyDescent="0.25">
      <c r="B45" s="53"/>
      <c r="C45" s="15"/>
      <c r="D45" s="15"/>
      <c r="E45" s="16"/>
      <c r="F45" s="27"/>
      <c r="G45" s="72"/>
      <c r="H45" s="26" t="str">
        <f>IF(E45="","",F45*G45)</f>
        <v/>
      </c>
      <c r="K45" s="72"/>
      <c r="L45" s="72"/>
      <c r="M45" s="72"/>
      <c r="N45" s="72"/>
    </row>
    <row r="46" spans="2:14" s="31" customFormat="1" ht="20.100000000000001" customHeight="1" x14ac:dyDescent="0.25">
      <c r="B46" s="151" t="str">
        <f>$B$11</f>
        <v>C2.2</v>
      </c>
      <c r="C46" s="33" t="str">
        <f>"TOTAL CARRIED FORWARD"&amp;IF(H46=H$1," TO SUMMARY (Page C"&amp;Page_A&amp;")","")</f>
        <v>TOTAL CARRIED FORWARD TO SUMMARY (Page C57)</v>
      </c>
      <c r="D46" s="33"/>
      <c r="E46" s="34"/>
      <c r="F46" s="35"/>
      <c r="G46" s="34"/>
      <c r="H46" s="36">
        <f>SUM(H10:H45)</f>
        <v>0</v>
      </c>
      <c r="I46" s="37"/>
      <c r="K46" s="34"/>
      <c r="L46" s="36">
        <f>SUM(L10:L45)</f>
        <v>7893</v>
      </c>
      <c r="M46" s="34"/>
      <c r="N46" s="34"/>
    </row>
  </sheetData>
  <mergeCells count="4">
    <mergeCell ref="F2:H2"/>
    <mergeCell ref="H5:H8"/>
    <mergeCell ref="B5:G5"/>
    <mergeCell ref="B6:G8"/>
  </mergeCells>
  <pageMargins left="0.62992125984251968" right="0.43307086614173229" top="0.62992125984251968" bottom="0.55118110236220474" header="0.51181102362204722" footer="0.31496062992125984"/>
  <pageSetup paperSize="9" scale="76" firstPageNumber="29" fitToHeight="0"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7E0D0-8850-438D-9BE9-A6DDFCA61286}">
  <sheetPr codeName="Sheet53">
    <tabColor rgb="FF92D050"/>
  </sheetPr>
  <dimension ref="B1:N65"/>
  <sheetViews>
    <sheetView view="pageBreakPreview" zoomScaleNormal="125" zoomScaleSheetLayoutView="100" zoomScalePageLayoutView="125" workbookViewId="0">
      <selection activeCell="G40" sqref="G40"/>
    </sheetView>
  </sheetViews>
  <sheetFormatPr defaultColWidth="6.6640625" defaultRowHeight="13.2" x14ac:dyDescent="0.25"/>
  <cols>
    <col min="1" max="1" width="0.6640625" style="1" customWidth="1"/>
    <col min="2" max="2" width="11.5546875" style="38" customWidth="1"/>
    <col min="3" max="3" width="45.5546875" style="57" customWidth="1"/>
    <col min="4" max="4" width="4.33203125" style="57" customWidth="1"/>
    <col min="5" max="5" width="13.5546875" style="4" customWidth="1"/>
    <col min="6" max="6" width="15.5546875" style="4" customWidth="1"/>
    <col min="7" max="7" width="15.5546875" style="1" customWidth="1"/>
    <col min="8" max="8" width="15.5546875" style="5" customWidth="1"/>
    <col min="9" max="9" width="0.6640625" style="5" customWidth="1"/>
    <col min="10" max="10" width="6.6640625" style="1"/>
    <col min="11" max="14" width="15.5546875" style="1" customWidth="1"/>
    <col min="15" max="16384" width="6.6640625" style="1"/>
  </cols>
  <sheetData>
    <row r="1" spans="2:14" x14ac:dyDescent="0.25">
      <c r="H1" s="234">
        <f>MAX(H9:H500)</f>
        <v>0</v>
      </c>
    </row>
    <row r="2" spans="2:14" x14ac:dyDescent="0.25">
      <c r="B2" s="2" t="str">
        <f>Client1</f>
        <v>Province of KwaZulu-Natal</v>
      </c>
      <c r="F2" s="510" t="str">
        <f>"Contract No. "&amp;ContractNo</f>
        <v>Contract No. ZNB02215/00000/00/HOD/INF/23/T</v>
      </c>
      <c r="G2" s="510"/>
      <c r="H2" s="510"/>
      <c r="K2" s="402"/>
      <c r="L2" s="402">
        <f>MAX(L3:L245)</f>
        <v>0</v>
      </c>
      <c r="M2" s="402"/>
      <c r="N2" s="403"/>
    </row>
    <row r="3" spans="2:14" x14ac:dyDescent="0.25">
      <c r="B3" s="96" t="str">
        <f>Client2</f>
        <v>Department of Transport</v>
      </c>
      <c r="K3" s="1" t="s">
        <v>1421</v>
      </c>
      <c r="L3" s="1" t="s">
        <v>1422</v>
      </c>
      <c r="M3" s="1" t="s">
        <v>1423</v>
      </c>
      <c r="N3" s="1" t="s">
        <v>1424</v>
      </c>
    </row>
    <row r="4" spans="2:14" x14ac:dyDescent="0.25">
      <c r="B4" s="84"/>
      <c r="C4" s="99"/>
      <c r="D4" s="99"/>
      <c r="E4" s="85"/>
      <c r="F4" s="85"/>
      <c r="G4" s="86"/>
      <c r="H4" s="98"/>
      <c r="K4" s="86"/>
      <c r="L4" s="86"/>
      <c r="M4" s="86"/>
      <c r="N4" s="86"/>
    </row>
    <row r="5" spans="2:14" x14ac:dyDescent="0.25">
      <c r="B5" s="507" t="s">
        <v>8</v>
      </c>
      <c r="C5" s="508"/>
      <c r="D5" s="508"/>
      <c r="E5" s="508"/>
      <c r="F5" s="508"/>
      <c r="G5" s="508"/>
      <c r="H5" s="504" t="str">
        <f>"CHAPTER "&amp;B13</f>
        <v>CHAPTER C4.1.4</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05"/>
      <c r="I6" s="9"/>
    </row>
    <row r="7" spans="2:14" ht="12.75" customHeight="1" x14ac:dyDescent="0.25">
      <c r="B7" s="500"/>
      <c r="C7" s="501"/>
      <c r="D7" s="501"/>
      <c r="E7" s="501"/>
      <c r="F7" s="501"/>
      <c r="G7" s="501"/>
      <c r="H7" s="505"/>
      <c r="I7" s="9"/>
    </row>
    <row r="8" spans="2:14" ht="7.5" customHeight="1" x14ac:dyDescent="0.25">
      <c r="B8" s="502"/>
      <c r="C8" s="503"/>
      <c r="D8" s="503"/>
      <c r="E8" s="503"/>
      <c r="F8" s="503"/>
      <c r="G8" s="503"/>
      <c r="H8" s="506"/>
      <c r="I8" s="9"/>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153"/>
      <c r="C10" s="152"/>
      <c r="D10" s="483"/>
      <c r="E10" s="105"/>
      <c r="F10" s="16"/>
      <c r="G10" s="17"/>
      <c r="H10" s="18" t="str">
        <f>IF(E10="","",F10*G10)</f>
        <v/>
      </c>
      <c r="I10" s="19"/>
      <c r="K10" s="17"/>
      <c r="L10" s="17"/>
      <c r="M10" s="17"/>
      <c r="N10" s="17"/>
    </row>
    <row r="11" spans="2:14" x14ac:dyDescent="0.25">
      <c r="B11" s="156" t="s">
        <v>961</v>
      </c>
      <c r="C11" s="7" t="s">
        <v>962</v>
      </c>
      <c r="D11" s="21"/>
      <c r="E11" s="23"/>
      <c r="F11" s="16"/>
      <c r="G11" s="17"/>
      <c r="H11" s="18" t="str">
        <f>IF(E11="","",F11*G11)</f>
        <v/>
      </c>
      <c r="I11" s="19"/>
      <c r="K11" s="17"/>
      <c r="L11" s="17"/>
      <c r="M11" s="17"/>
      <c r="N11" s="17"/>
    </row>
    <row r="12" spans="2:14" x14ac:dyDescent="0.25">
      <c r="B12" s="154"/>
      <c r="D12" s="15"/>
      <c r="E12" s="23"/>
      <c r="F12" s="16"/>
      <c r="G12" s="17"/>
      <c r="H12" s="18" t="str">
        <f>IF(E12="","",F12*G12)</f>
        <v/>
      </c>
      <c r="I12" s="19"/>
      <c r="K12" s="17"/>
      <c r="L12" s="17"/>
      <c r="M12" s="17"/>
      <c r="N12" s="17"/>
    </row>
    <row r="13" spans="2:14" x14ac:dyDescent="0.25">
      <c r="B13" s="155" t="s">
        <v>615</v>
      </c>
      <c r="C13" s="62" t="s">
        <v>614</v>
      </c>
      <c r="D13" s="17"/>
      <c r="E13" s="23"/>
      <c r="F13" s="24"/>
      <c r="G13" s="41"/>
      <c r="H13" s="18" t="str">
        <f t="shared" ref="H13:H35" si="0">IF(E13="","",F13*G13)</f>
        <v/>
      </c>
      <c r="I13" s="44"/>
      <c r="K13" s="41"/>
      <c r="L13" s="41"/>
      <c r="M13" s="41"/>
      <c r="N13" s="41"/>
    </row>
    <row r="14" spans="2:14" x14ac:dyDescent="0.25">
      <c r="B14" s="154"/>
      <c r="D14" s="15"/>
      <c r="E14" s="40"/>
      <c r="F14" s="27"/>
      <c r="G14" s="41"/>
      <c r="H14" s="18" t="str">
        <f t="shared" si="0"/>
        <v/>
      </c>
      <c r="I14" s="44"/>
      <c r="K14" s="41"/>
      <c r="L14" s="41"/>
      <c r="M14" s="41"/>
      <c r="N14" s="41"/>
    </row>
    <row r="15" spans="2:14" ht="15.6" x14ac:dyDescent="0.25">
      <c r="B15" s="155" t="s">
        <v>613</v>
      </c>
      <c r="C15" s="62" t="s">
        <v>612</v>
      </c>
      <c r="D15" s="17"/>
      <c r="E15" s="23" t="s">
        <v>34</v>
      </c>
      <c r="F15" s="27">
        <v>150</v>
      </c>
      <c r="G15" s="41"/>
      <c r="H15" s="18">
        <f t="shared" si="0"/>
        <v>0</v>
      </c>
      <c r="I15" s="44"/>
      <c r="K15" s="41"/>
      <c r="L15" s="41"/>
      <c r="M15" s="41"/>
      <c r="N15" s="41"/>
    </row>
    <row r="16" spans="2:14" x14ac:dyDescent="0.25">
      <c r="B16" s="155"/>
      <c r="C16" s="62"/>
      <c r="D16" s="17"/>
      <c r="E16" s="40"/>
      <c r="F16" s="27"/>
      <c r="G16" s="41"/>
      <c r="H16" s="18" t="str">
        <f t="shared" si="0"/>
        <v/>
      </c>
      <c r="I16" s="44"/>
      <c r="K16" s="41"/>
      <c r="L16" s="41"/>
      <c r="M16" s="41"/>
      <c r="N16" s="41"/>
    </row>
    <row r="17" spans="2:14" x14ac:dyDescent="0.25">
      <c r="B17" s="53"/>
      <c r="D17" s="15"/>
      <c r="E17" s="23"/>
      <c r="F17" s="24"/>
      <c r="G17" s="41"/>
      <c r="H17" s="18" t="str">
        <f t="shared" si="0"/>
        <v/>
      </c>
      <c r="I17" s="45"/>
      <c r="K17" s="41"/>
      <c r="L17" s="41"/>
      <c r="M17" s="41"/>
      <c r="N17" s="41"/>
    </row>
    <row r="18" spans="2:14" ht="26.4" x14ac:dyDescent="0.25">
      <c r="B18" s="155" t="s">
        <v>611</v>
      </c>
      <c r="C18" s="62" t="s">
        <v>610</v>
      </c>
      <c r="D18" s="17"/>
      <c r="E18" s="23"/>
      <c r="F18" s="23"/>
      <c r="G18" s="41"/>
      <c r="H18" s="18" t="str">
        <f t="shared" si="0"/>
        <v/>
      </c>
      <c r="I18" s="45"/>
      <c r="K18" s="41"/>
      <c r="L18" s="41"/>
      <c r="M18" s="41"/>
      <c r="N18" s="41"/>
    </row>
    <row r="19" spans="2:14" x14ac:dyDescent="0.25">
      <c r="B19" s="154"/>
      <c r="D19" s="15"/>
      <c r="E19" s="23"/>
      <c r="F19" s="23"/>
      <c r="G19" s="41"/>
      <c r="H19" s="18" t="str">
        <f t="shared" si="0"/>
        <v/>
      </c>
      <c r="I19" s="45"/>
      <c r="K19" s="41"/>
      <c r="L19" s="41"/>
      <c r="M19" s="41"/>
      <c r="N19" s="41"/>
    </row>
    <row r="20" spans="2:14" ht="15.6" x14ac:dyDescent="0.25">
      <c r="B20" s="155" t="s">
        <v>609</v>
      </c>
      <c r="C20" s="62" t="s">
        <v>313</v>
      </c>
      <c r="D20" s="17"/>
      <c r="E20" s="23" t="s">
        <v>34</v>
      </c>
      <c r="F20" s="23">
        <v>200</v>
      </c>
      <c r="G20" s="41"/>
      <c r="H20" s="18">
        <f t="shared" si="0"/>
        <v>0</v>
      </c>
      <c r="I20" s="44"/>
      <c r="K20" s="41"/>
      <c r="L20" s="41"/>
      <c r="M20" s="41"/>
      <c r="N20" s="41"/>
    </row>
    <row r="21" spans="2:14" x14ac:dyDescent="0.25">
      <c r="B21" s="154"/>
      <c r="D21" s="15"/>
      <c r="E21" s="23"/>
      <c r="F21" s="23"/>
      <c r="G21" s="41"/>
      <c r="H21" s="18" t="str">
        <f t="shared" si="0"/>
        <v/>
      </c>
      <c r="I21" s="44"/>
      <c r="K21" s="41"/>
      <c r="L21" s="41"/>
      <c r="M21" s="41"/>
      <c r="N21" s="41"/>
    </row>
    <row r="22" spans="2:14" ht="15.6" x14ac:dyDescent="0.25">
      <c r="B22" s="155" t="s">
        <v>608</v>
      </c>
      <c r="C22" s="62" t="s">
        <v>607</v>
      </c>
      <c r="D22" s="17"/>
      <c r="E22" s="23" t="s">
        <v>34</v>
      </c>
      <c r="F22" s="23">
        <f>100+6549</f>
        <v>6649</v>
      </c>
      <c r="G22" s="41"/>
      <c r="H22" s="18">
        <f t="shared" si="0"/>
        <v>0</v>
      </c>
      <c r="I22" s="47"/>
      <c r="K22" s="41"/>
      <c r="L22" s="41"/>
      <c r="M22" s="41"/>
      <c r="N22" s="41"/>
    </row>
    <row r="23" spans="2:14" x14ac:dyDescent="0.25">
      <c r="B23" s="154"/>
      <c r="D23" s="15"/>
      <c r="E23" s="23"/>
      <c r="F23" s="23"/>
      <c r="G23" s="41"/>
      <c r="H23" s="18" t="str">
        <f t="shared" si="0"/>
        <v/>
      </c>
      <c r="K23" s="41"/>
      <c r="L23" s="41"/>
      <c r="M23" s="41"/>
      <c r="N23" s="41"/>
    </row>
    <row r="24" spans="2:14" ht="15.6" x14ac:dyDescent="0.25">
      <c r="B24" s="155" t="s">
        <v>606</v>
      </c>
      <c r="C24" s="62" t="s">
        <v>605</v>
      </c>
      <c r="D24" s="17"/>
      <c r="E24" s="23" t="s">
        <v>34</v>
      </c>
      <c r="F24" s="23">
        <v>100</v>
      </c>
      <c r="G24" s="41"/>
      <c r="H24" s="18">
        <f t="shared" si="0"/>
        <v>0</v>
      </c>
      <c r="K24" s="41"/>
      <c r="L24" s="41"/>
      <c r="M24" s="41"/>
      <c r="N24" s="41"/>
    </row>
    <row r="25" spans="2:14" x14ac:dyDescent="0.25">
      <c r="B25" s="154"/>
      <c r="D25" s="15"/>
      <c r="E25" s="23"/>
      <c r="F25" s="23"/>
      <c r="G25" s="41"/>
      <c r="H25" s="18" t="str">
        <f t="shared" si="0"/>
        <v/>
      </c>
      <c r="K25" s="41"/>
      <c r="L25" s="41"/>
      <c r="M25" s="41"/>
      <c r="N25" s="41"/>
    </row>
    <row r="26" spans="2:14" ht="26.4" x14ac:dyDescent="0.25">
      <c r="B26" s="155" t="s">
        <v>604</v>
      </c>
      <c r="C26" s="62" t="s">
        <v>603</v>
      </c>
      <c r="D26" s="17"/>
      <c r="E26" s="23"/>
      <c r="F26" s="23"/>
      <c r="G26" s="41"/>
      <c r="H26" s="18" t="str">
        <f t="shared" si="0"/>
        <v/>
      </c>
      <c r="I26" s="44"/>
      <c r="K26" s="41"/>
      <c r="L26" s="41"/>
      <c r="M26" s="41"/>
      <c r="N26" s="41"/>
    </row>
    <row r="27" spans="2:14" x14ac:dyDescent="0.25">
      <c r="B27" s="154"/>
      <c r="D27" s="15"/>
      <c r="E27" s="23"/>
      <c r="F27" s="23"/>
      <c r="G27" s="41"/>
      <c r="H27" s="18" t="str">
        <f t="shared" si="0"/>
        <v/>
      </c>
      <c r="I27" s="45"/>
      <c r="K27" s="41"/>
      <c r="L27" s="41"/>
      <c r="M27" s="41"/>
      <c r="N27" s="41"/>
    </row>
    <row r="28" spans="2:14" x14ac:dyDescent="0.25">
      <c r="B28" s="155" t="s">
        <v>49</v>
      </c>
      <c r="C28" s="62" t="s">
        <v>1127</v>
      </c>
      <c r="D28" s="17"/>
      <c r="E28" s="40"/>
      <c r="F28" s="23"/>
      <c r="G28" s="41"/>
      <c r="H28" s="18" t="str">
        <f t="shared" si="0"/>
        <v/>
      </c>
      <c r="I28" s="44"/>
      <c r="K28" s="41"/>
      <c r="L28" s="41"/>
      <c r="M28" s="41"/>
      <c r="N28" s="41"/>
    </row>
    <row r="29" spans="2:14" x14ac:dyDescent="0.25">
      <c r="B29" s="154"/>
      <c r="C29" s="62"/>
      <c r="D29" s="17"/>
      <c r="E29" s="23"/>
      <c r="F29" s="23"/>
      <c r="G29" s="41"/>
      <c r="H29" s="18" t="str">
        <f t="shared" si="0"/>
        <v/>
      </c>
      <c r="I29" s="44"/>
      <c r="K29" s="41"/>
      <c r="L29" s="41"/>
      <c r="M29" s="41"/>
      <c r="N29" s="41"/>
    </row>
    <row r="30" spans="2:14" x14ac:dyDescent="0.25">
      <c r="B30" s="155"/>
      <c r="C30" s="62" t="s">
        <v>1128</v>
      </c>
      <c r="D30" s="17"/>
      <c r="E30" s="40" t="s">
        <v>32</v>
      </c>
      <c r="F30" s="23">
        <v>1</v>
      </c>
      <c r="G30" s="41"/>
      <c r="H30" s="18">
        <f t="shared" si="0"/>
        <v>0</v>
      </c>
      <c r="I30" s="19"/>
      <c r="K30" s="41">
        <f>5%*G30</f>
        <v>0</v>
      </c>
      <c r="L30" s="48">
        <f>IF(K30="","",K30*F30)</f>
        <v>0</v>
      </c>
      <c r="M30" s="41"/>
      <c r="N30" s="41"/>
    </row>
    <row r="31" spans="2:14" x14ac:dyDescent="0.25">
      <c r="B31" s="53"/>
      <c r="C31" s="62" t="s">
        <v>1129</v>
      </c>
      <c r="D31" s="17"/>
      <c r="E31" s="40" t="s">
        <v>32</v>
      </c>
      <c r="F31" s="23">
        <v>1</v>
      </c>
      <c r="G31" s="41"/>
      <c r="H31" s="18">
        <f t="shared" si="0"/>
        <v>0</v>
      </c>
      <c r="I31" s="19"/>
      <c r="K31" s="41">
        <f>5%*G31</f>
        <v>0</v>
      </c>
      <c r="L31" s="48">
        <f>IF(K31="","",K31*F31)</f>
        <v>0</v>
      </c>
      <c r="M31" s="41"/>
      <c r="N31" s="41"/>
    </row>
    <row r="32" spans="2:14" s="39" customFormat="1" x14ac:dyDescent="0.25">
      <c r="B32" s="53"/>
      <c r="C32" s="62"/>
      <c r="D32" s="17"/>
      <c r="E32" s="40"/>
      <c r="F32" s="40"/>
      <c r="G32" s="41"/>
      <c r="H32" s="18" t="str">
        <f t="shared" si="0"/>
        <v/>
      </c>
      <c r="I32" s="19"/>
      <c r="J32" s="1"/>
      <c r="K32" s="41"/>
      <c r="L32" s="48" t="str">
        <f>IF(K32="","",K32*F32)</f>
        <v/>
      </c>
      <c r="M32" s="41"/>
      <c r="N32" s="41"/>
    </row>
    <row r="33" spans="2:14" x14ac:dyDescent="0.25">
      <c r="B33" s="53"/>
      <c r="D33" s="15"/>
      <c r="E33" s="23"/>
      <c r="F33" s="24"/>
      <c r="G33" s="41"/>
      <c r="H33" s="18" t="str">
        <f t="shared" si="0"/>
        <v/>
      </c>
      <c r="I33" s="44"/>
      <c r="K33" s="41"/>
      <c r="L33" s="41"/>
      <c r="M33" s="41"/>
      <c r="N33" s="41"/>
    </row>
    <row r="34" spans="2:14" x14ac:dyDescent="0.25">
      <c r="B34" s="155"/>
      <c r="C34" s="62"/>
      <c r="D34" s="17"/>
      <c r="E34" s="23"/>
      <c r="F34" s="23"/>
      <c r="G34" s="41"/>
      <c r="H34" s="18" t="str">
        <f t="shared" si="0"/>
        <v/>
      </c>
      <c r="I34" s="44"/>
      <c r="K34" s="41"/>
      <c r="L34" s="41"/>
      <c r="M34" s="41"/>
      <c r="N34" s="41"/>
    </row>
    <row r="35" spans="2:14" x14ac:dyDescent="0.25">
      <c r="B35" s="154"/>
      <c r="D35" s="15"/>
      <c r="E35" s="23"/>
      <c r="F35" s="23"/>
      <c r="G35" s="41" t="s">
        <v>1556</v>
      </c>
      <c r="H35" s="18" t="str">
        <f t="shared" si="0"/>
        <v/>
      </c>
      <c r="I35" s="44"/>
      <c r="K35" s="41"/>
      <c r="L35" s="41"/>
      <c r="M35" s="41"/>
      <c r="N35" s="41"/>
    </row>
    <row r="36" spans="2:14" x14ac:dyDescent="0.25">
      <c r="B36" s="155"/>
      <c r="C36" s="62"/>
      <c r="D36" s="17"/>
      <c r="E36" s="23"/>
      <c r="F36" s="23"/>
      <c r="G36" s="41" t="s">
        <v>1556</v>
      </c>
      <c r="H36" s="18"/>
      <c r="I36" s="44"/>
      <c r="K36" s="41"/>
      <c r="L36" s="41"/>
      <c r="M36" s="41"/>
      <c r="N36" s="41"/>
    </row>
    <row r="37" spans="2:14" x14ac:dyDescent="0.25">
      <c r="B37" s="154"/>
      <c r="D37" s="15"/>
      <c r="E37" s="23"/>
      <c r="F37" s="23"/>
      <c r="G37" s="41" t="s">
        <v>1556</v>
      </c>
      <c r="H37" s="18"/>
      <c r="I37" s="44"/>
      <c r="K37" s="41"/>
      <c r="L37" s="41"/>
      <c r="M37" s="41"/>
      <c r="N37" s="41"/>
    </row>
    <row r="38" spans="2:14" x14ac:dyDescent="0.25">
      <c r="B38" s="155"/>
      <c r="C38" s="62"/>
      <c r="D38" s="17"/>
      <c r="E38" s="23"/>
      <c r="F38" s="23"/>
      <c r="G38" s="41"/>
      <c r="H38" s="18"/>
      <c r="I38" s="44"/>
      <c r="K38" s="41"/>
      <c r="L38" s="41"/>
      <c r="M38" s="41"/>
      <c r="N38" s="41"/>
    </row>
    <row r="39" spans="2:14" x14ac:dyDescent="0.25">
      <c r="B39" s="154"/>
      <c r="D39" s="15"/>
      <c r="E39" s="23"/>
      <c r="F39" s="23"/>
      <c r="G39" s="41"/>
      <c r="H39" s="18"/>
      <c r="I39" s="44"/>
      <c r="K39" s="41"/>
      <c r="L39" s="41"/>
      <c r="M39" s="41"/>
      <c r="N39" s="41"/>
    </row>
    <row r="40" spans="2:14" x14ac:dyDescent="0.25">
      <c r="B40" s="155"/>
      <c r="C40" s="62"/>
      <c r="D40" s="17"/>
      <c r="E40" s="23"/>
      <c r="F40" s="23"/>
      <c r="G40" s="41"/>
      <c r="H40" s="18"/>
      <c r="I40" s="44"/>
      <c r="K40" s="41"/>
      <c r="L40" s="41"/>
      <c r="M40" s="41"/>
      <c r="N40" s="41"/>
    </row>
    <row r="41" spans="2:14" x14ac:dyDescent="0.25">
      <c r="B41" s="154"/>
      <c r="D41" s="15"/>
      <c r="E41" s="23"/>
      <c r="F41" s="23"/>
      <c r="G41" s="41"/>
      <c r="H41" s="18"/>
      <c r="I41" s="44"/>
      <c r="K41" s="41"/>
      <c r="L41" s="41"/>
      <c r="M41" s="41"/>
      <c r="N41" s="41"/>
    </row>
    <row r="42" spans="2:14" x14ac:dyDescent="0.25">
      <c r="B42" s="155"/>
      <c r="C42" s="62"/>
      <c r="D42" s="17"/>
      <c r="E42" s="23"/>
      <c r="F42" s="23"/>
      <c r="G42" s="41"/>
      <c r="H42" s="18"/>
      <c r="I42" s="44"/>
      <c r="K42" s="41"/>
      <c r="L42" s="41"/>
      <c r="M42" s="41"/>
      <c r="N42" s="41"/>
    </row>
    <row r="43" spans="2:14" x14ac:dyDescent="0.25">
      <c r="B43" s="154"/>
      <c r="D43" s="15"/>
      <c r="E43" s="23"/>
      <c r="F43" s="23"/>
      <c r="G43" s="41"/>
      <c r="H43" s="18"/>
      <c r="I43" s="44"/>
      <c r="K43" s="41"/>
      <c r="L43" s="41"/>
      <c r="M43" s="41"/>
      <c r="N43" s="41"/>
    </row>
    <row r="44" spans="2:14" x14ac:dyDescent="0.25">
      <c r="B44" s="155"/>
      <c r="C44" s="62"/>
      <c r="D44" s="17"/>
      <c r="E44" s="23"/>
      <c r="F44" s="23"/>
      <c r="G44" s="51"/>
      <c r="H44" s="18"/>
      <c r="I44" s="44"/>
      <c r="K44" s="51"/>
      <c r="L44" s="51"/>
      <c r="M44" s="51"/>
      <c r="N44" s="51"/>
    </row>
    <row r="45" spans="2:14" x14ac:dyDescent="0.25">
      <c r="B45" s="53"/>
      <c r="D45" s="15"/>
      <c r="E45" s="23"/>
      <c r="F45" s="23"/>
      <c r="G45" s="51"/>
      <c r="H45" s="18"/>
      <c r="I45" s="44"/>
      <c r="K45" s="51"/>
      <c r="L45" s="51"/>
      <c r="M45" s="51"/>
      <c r="N45" s="51"/>
    </row>
    <row r="46" spans="2:14" x14ac:dyDescent="0.25">
      <c r="B46" s="155"/>
      <c r="C46" s="62"/>
      <c r="D46" s="17"/>
      <c r="E46" s="23"/>
      <c r="F46" s="23"/>
      <c r="G46" s="41"/>
      <c r="H46" s="18"/>
      <c r="I46" s="44"/>
      <c r="K46" s="41"/>
      <c r="L46" s="41"/>
      <c r="M46" s="41"/>
      <c r="N46" s="41"/>
    </row>
    <row r="47" spans="2:14" x14ac:dyDescent="0.25">
      <c r="B47" s="154"/>
      <c r="D47" s="15"/>
      <c r="E47" s="23"/>
      <c r="F47" s="23"/>
      <c r="G47" s="41"/>
      <c r="H47" s="18"/>
      <c r="I47" s="44"/>
      <c r="K47" s="41"/>
      <c r="L47" s="41"/>
      <c r="M47" s="41"/>
      <c r="N47" s="41"/>
    </row>
    <row r="48" spans="2:14" x14ac:dyDescent="0.25">
      <c r="B48" s="155"/>
      <c r="C48" s="62"/>
      <c r="D48" s="17"/>
      <c r="E48" s="40"/>
      <c r="F48" s="23"/>
      <c r="G48" s="41"/>
      <c r="H48" s="18"/>
      <c r="I48" s="44"/>
      <c r="K48" s="41"/>
      <c r="L48" s="41"/>
      <c r="M48" s="41"/>
      <c r="N48" s="41"/>
    </row>
    <row r="49" spans="2:14" x14ac:dyDescent="0.25">
      <c r="B49" s="154"/>
      <c r="D49" s="15"/>
      <c r="E49" s="23"/>
      <c r="F49" s="23"/>
      <c r="G49" s="41"/>
      <c r="H49" s="18"/>
      <c r="I49" s="44"/>
      <c r="K49" s="41"/>
      <c r="L49" s="41"/>
      <c r="M49" s="41"/>
      <c r="N49" s="41"/>
    </row>
    <row r="50" spans="2:14" x14ac:dyDescent="0.25">
      <c r="B50" s="155"/>
      <c r="C50" s="62"/>
      <c r="D50" s="17"/>
      <c r="E50" s="40"/>
      <c r="F50" s="23"/>
      <c r="G50" s="41"/>
      <c r="H50" s="18"/>
      <c r="I50" s="44"/>
      <c r="K50" s="41"/>
      <c r="L50" s="41"/>
      <c r="M50" s="41"/>
      <c r="N50" s="41"/>
    </row>
    <row r="51" spans="2:14" x14ac:dyDescent="0.25">
      <c r="B51" s="53"/>
      <c r="D51" s="15"/>
      <c r="E51" s="23"/>
      <c r="F51" s="23"/>
      <c r="G51" s="41"/>
      <c r="H51" s="18"/>
      <c r="I51" s="44"/>
      <c r="K51" s="41"/>
      <c r="L51" s="41"/>
      <c r="M51" s="41"/>
      <c r="N51" s="41"/>
    </row>
    <row r="52" spans="2:14" x14ac:dyDescent="0.25">
      <c r="B52" s="53"/>
      <c r="C52" s="62"/>
      <c r="D52" s="17"/>
      <c r="E52" s="40"/>
      <c r="F52" s="40"/>
      <c r="G52" s="41"/>
      <c r="H52" s="18"/>
      <c r="K52" s="41"/>
      <c r="L52" s="41"/>
      <c r="M52" s="41"/>
      <c r="N52" s="41"/>
    </row>
    <row r="53" spans="2:14" x14ac:dyDescent="0.25">
      <c r="B53" s="154"/>
      <c r="D53" s="15"/>
      <c r="E53" s="23"/>
      <c r="F53" s="23"/>
      <c r="G53" s="41"/>
      <c r="H53" s="18"/>
      <c r="I53" s="44"/>
      <c r="K53" s="41"/>
      <c r="L53" s="41"/>
      <c r="M53" s="41"/>
      <c r="N53" s="41"/>
    </row>
    <row r="54" spans="2:14" x14ac:dyDescent="0.25">
      <c r="B54" s="155"/>
      <c r="C54" s="62"/>
      <c r="D54" s="17"/>
      <c r="E54" s="40"/>
      <c r="F54" s="40"/>
      <c r="G54" s="41"/>
      <c r="H54" s="18"/>
      <c r="I54" s="52"/>
      <c r="K54" s="41"/>
      <c r="L54" s="41"/>
      <c r="M54" s="41"/>
      <c r="N54" s="41"/>
    </row>
    <row r="55" spans="2:14" x14ac:dyDescent="0.25">
      <c r="B55" s="154"/>
      <c r="D55" s="15"/>
      <c r="E55" s="40"/>
      <c r="F55" s="40"/>
      <c r="G55" s="41"/>
      <c r="H55" s="18"/>
      <c r="K55" s="41"/>
      <c r="L55" s="41"/>
      <c r="M55" s="41"/>
      <c r="N55" s="41"/>
    </row>
    <row r="56" spans="2:14" x14ac:dyDescent="0.25">
      <c r="B56" s="155"/>
      <c r="C56" s="62"/>
      <c r="D56" s="17"/>
      <c r="E56" s="40"/>
      <c r="F56" s="23"/>
      <c r="G56" s="41"/>
      <c r="H56" s="18"/>
      <c r="I56" s="44"/>
      <c r="K56" s="41"/>
      <c r="L56" s="41"/>
      <c r="M56" s="41"/>
      <c r="N56" s="41"/>
    </row>
    <row r="57" spans="2:14" x14ac:dyDescent="0.25">
      <c r="B57" s="155"/>
      <c r="C57" s="62"/>
      <c r="D57" s="17"/>
      <c r="E57" s="40"/>
      <c r="F57" s="23"/>
      <c r="G57" s="41"/>
      <c r="H57" s="18"/>
      <c r="I57" s="44"/>
      <c r="K57" s="41"/>
      <c r="L57" s="41"/>
      <c r="M57" s="41"/>
      <c r="N57" s="41"/>
    </row>
    <row r="58" spans="2:14" x14ac:dyDescent="0.25">
      <c r="B58" s="155"/>
      <c r="C58" s="62"/>
      <c r="D58" s="17"/>
      <c r="E58" s="40"/>
      <c r="F58" s="23"/>
      <c r="G58" s="41"/>
      <c r="H58" s="18"/>
      <c r="I58" s="44"/>
      <c r="K58" s="41"/>
      <c r="L58" s="41"/>
      <c r="M58" s="41"/>
      <c r="N58" s="41"/>
    </row>
    <row r="59" spans="2:14" x14ac:dyDescent="0.25">
      <c r="B59" s="155"/>
      <c r="C59" s="62"/>
      <c r="D59" s="17"/>
      <c r="E59" s="40"/>
      <c r="F59" s="23"/>
      <c r="G59" s="41"/>
      <c r="H59" s="18"/>
      <c r="I59" s="44"/>
      <c r="K59" s="41"/>
      <c r="L59" s="41"/>
      <c r="M59" s="41"/>
      <c r="N59" s="41"/>
    </row>
    <row r="60" spans="2:14" x14ac:dyDescent="0.25">
      <c r="B60" s="155"/>
      <c r="C60" s="62"/>
      <c r="D60" s="17"/>
      <c r="E60" s="40"/>
      <c r="F60" s="23"/>
      <c r="G60" s="41"/>
      <c r="H60" s="18"/>
      <c r="I60" s="44"/>
      <c r="K60" s="41"/>
      <c r="L60" s="41"/>
      <c r="M60" s="41"/>
      <c r="N60" s="41"/>
    </row>
    <row r="61" spans="2:14" x14ac:dyDescent="0.25">
      <c r="B61" s="155"/>
      <c r="C61" s="62"/>
      <c r="D61" s="17"/>
      <c r="E61" s="40"/>
      <c r="F61" s="23"/>
      <c r="G61" s="41"/>
      <c r="H61" s="18"/>
      <c r="I61" s="44"/>
      <c r="K61" s="41"/>
      <c r="L61" s="41"/>
      <c r="M61" s="41"/>
      <c r="N61" s="41"/>
    </row>
    <row r="62" spans="2:14" x14ac:dyDescent="0.25">
      <c r="B62" s="155"/>
      <c r="C62" s="62"/>
      <c r="D62" s="17"/>
      <c r="E62" s="40"/>
      <c r="F62" s="23"/>
      <c r="G62" s="41"/>
      <c r="H62" s="18"/>
      <c r="I62" s="44"/>
      <c r="K62" s="41"/>
      <c r="L62" s="41"/>
      <c r="M62" s="41"/>
      <c r="N62" s="41"/>
    </row>
    <row r="63" spans="2:14" x14ac:dyDescent="0.25">
      <c r="B63" s="155"/>
      <c r="C63" s="62"/>
      <c r="D63" s="17"/>
      <c r="E63" s="40"/>
      <c r="F63" s="23"/>
      <c r="G63" s="41"/>
      <c r="H63" s="18"/>
      <c r="I63" s="44"/>
      <c r="K63" s="41"/>
      <c r="L63" s="41"/>
      <c r="M63" s="41"/>
      <c r="N63" s="41"/>
    </row>
    <row r="64" spans="2:14" x14ac:dyDescent="0.25">
      <c r="B64" s="53"/>
      <c r="D64" s="484"/>
      <c r="E64" s="23"/>
      <c r="F64" s="23"/>
      <c r="G64" s="41"/>
      <c r="H64" s="18" t="str">
        <f>IF(E64="","",F64*G64)</f>
        <v/>
      </c>
      <c r="I64" s="44"/>
      <c r="K64" s="41"/>
      <c r="L64" s="41"/>
      <c r="M64" s="41"/>
      <c r="N64" s="41"/>
    </row>
    <row r="65" spans="2:14" s="31" customFormat="1" ht="19.5" customHeight="1" x14ac:dyDescent="0.25">
      <c r="B65" s="151" t="str">
        <f>$B$11</f>
        <v>C4.1</v>
      </c>
      <c r="C65" s="33" t="str">
        <f>"TOTAL CARRIED FORWARD"&amp;IF(H65=H$1," TO SUMMARY (Page C"&amp;Page_A&amp;")","")</f>
        <v>TOTAL CARRIED FORWARD TO SUMMARY (Page C57)</v>
      </c>
      <c r="D65" s="33"/>
      <c r="E65" s="35"/>
      <c r="F65" s="35"/>
      <c r="G65" s="34"/>
      <c r="H65" s="36">
        <f>SUM(H15:H64)</f>
        <v>0</v>
      </c>
      <c r="I65" s="37"/>
      <c r="K65" s="34"/>
      <c r="L65" s="34"/>
      <c r="M65" s="34"/>
      <c r="N65" s="34"/>
    </row>
  </sheetData>
  <mergeCells count="4">
    <mergeCell ref="F2:H2"/>
    <mergeCell ref="B6:G8"/>
    <mergeCell ref="H5:H8"/>
    <mergeCell ref="B5:G5"/>
  </mergeCells>
  <pageMargins left="0.62992125984251968" right="0.43307086614173229" top="0.62992125984251968" bottom="0.55118110236220474" header="0.51181102362204722" footer="0.31496062992125984"/>
  <pageSetup paperSize="9" scale="76"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24840-8989-4EB7-AB6A-38BC5A30C3EB}">
  <sheetPr codeName="Sheet54">
    <tabColor rgb="FF92D050"/>
  </sheetPr>
  <dimension ref="B1:N64"/>
  <sheetViews>
    <sheetView view="pageBreakPreview" zoomScaleNormal="125" zoomScaleSheetLayoutView="100" zoomScalePageLayoutView="125" workbookViewId="0">
      <selection activeCell="G13" sqref="G13:G22"/>
    </sheetView>
  </sheetViews>
  <sheetFormatPr defaultColWidth="6.6640625" defaultRowHeight="13.2" x14ac:dyDescent="0.25"/>
  <cols>
    <col min="1" max="1" width="0.6640625" style="1" customWidth="1"/>
    <col min="2" max="2" width="11.5546875" style="38" customWidth="1"/>
    <col min="3" max="3" width="45.5546875" style="3" customWidth="1"/>
    <col min="4" max="4" width="5.10937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0" width="6.6640625" style="1"/>
    <col min="11" max="14" width="15.5546875" style="1" customWidth="1"/>
    <col min="15" max="16384" width="6.6640625" style="1"/>
  </cols>
  <sheetData>
    <row r="1" spans="2:14" x14ac:dyDescent="0.25">
      <c r="H1" s="234">
        <f>MAX(H9:H498)</f>
        <v>0</v>
      </c>
    </row>
    <row r="2" spans="2:14" x14ac:dyDescent="0.25">
      <c r="B2" s="2" t="str">
        <f>Client1</f>
        <v>Province of KwaZulu-Natal</v>
      </c>
      <c r="F2" s="510" t="str">
        <f>"Contract No. "&amp;ContractNo</f>
        <v>Contract No. ZNB02215/00000/00/HOD/INF/23/T</v>
      </c>
      <c r="G2" s="510"/>
      <c r="H2" s="510"/>
      <c r="K2" s="402"/>
      <c r="L2" s="402">
        <f>MAX(L3:L243)</f>
        <v>0</v>
      </c>
      <c r="M2" s="402"/>
      <c r="N2" s="403"/>
    </row>
    <row r="3" spans="2:14" x14ac:dyDescent="0.25">
      <c r="B3" s="96" t="str">
        <f>Client2</f>
        <v>Department of Transport</v>
      </c>
      <c r="K3" s="1" t="s">
        <v>1421</v>
      </c>
      <c r="L3" s="1" t="s">
        <v>1422</v>
      </c>
      <c r="M3" s="1" t="s">
        <v>1423</v>
      </c>
      <c r="N3" s="1" t="s">
        <v>1424</v>
      </c>
    </row>
    <row r="4" spans="2:14" x14ac:dyDescent="0.25">
      <c r="B4" s="84"/>
      <c r="C4" s="84"/>
      <c r="D4" s="84"/>
      <c r="E4" s="85"/>
      <c r="F4" s="85"/>
      <c r="G4" s="86"/>
      <c r="H4" s="98"/>
      <c r="K4" s="86"/>
      <c r="L4" s="86"/>
      <c r="M4" s="86"/>
      <c r="N4" s="86"/>
    </row>
    <row r="5" spans="2:14" x14ac:dyDescent="0.25">
      <c r="B5" s="507" t="s">
        <v>8</v>
      </c>
      <c r="C5" s="508"/>
      <c r="D5" s="508"/>
      <c r="E5" s="508"/>
      <c r="F5" s="508"/>
      <c r="G5" s="508"/>
      <c r="H5" s="504" t="str">
        <f>"CHAPTER "&amp;B11</f>
        <v>CHAPTER C4.2</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05"/>
      <c r="I6" s="9"/>
    </row>
    <row r="7" spans="2:14" ht="12.75" customHeight="1" x14ac:dyDescent="0.25">
      <c r="B7" s="500"/>
      <c r="C7" s="501"/>
      <c r="D7" s="501"/>
      <c r="E7" s="501"/>
      <c r="F7" s="501"/>
      <c r="G7" s="501"/>
      <c r="H7" s="505"/>
      <c r="I7" s="9"/>
    </row>
    <row r="8" spans="2:14" ht="7.5" customHeight="1" x14ac:dyDescent="0.25">
      <c r="B8" s="502"/>
      <c r="C8" s="503"/>
      <c r="D8" s="503"/>
      <c r="E8" s="503"/>
      <c r="F8" s="503"/>
      <c r="G8" s="503"/>
      <c r="H8" s="506"/>
      <c r="I8" s="9"/>
    </row>
    <row r="9" spans="2:14" s="10" customFormat="1" ht="25.2" customHeight="1" x14ac:dyDescent="0.25">
      <c r="B9" s="11" t="s">
        <v>0</v>
      </c>
      <c r="C9" s="481" t="s">
        <v>1</v>
      </c>
      <c r="D9" s="12" t="s">
        <v>1602</v>
      </c>
      <c r="E9" s="12" t="s">
        <v>2</v>
      </c>
      <c r="F9" s="12" t="s">
        <v>3</v>
      </c>
      <c r="G9" s="12" t="s">
        <v>4</v>
      </c>
      <c r="H9" s="12" t="s">
        <v>5</v>
      </c>
      <c r="I9" s="13"/>
      <c r="K9" s="12"/>
      <c r="L9" s="12"/>
      <c r="M9" s="12"/>
      <c r="N9" s="12"/>
    </row>
    <row r="10" spans="2:14" x14ac:dyDescent="0.25">
      <c r="B10" s="158"/>
      <c r="C10" s="57"/>
      <c r="D10" s="15"/>
      <c r="E10" s="88"/>
      <c r="F10" s="16"/>
      <c r="G10" s="17"/>
      <c r="H10" s="18" t="str">
        <f>IF(E10="","",F10*G10)</f>
        <v/>
      </c>
      <c r="I10" s="19"/>
      <c r="K10" s="17"/>
      <c r="L10" s="48" t="str">
        <f t="shared" ref="L10:L63" si="0">IF(K10="","",K10*F10)</f>
        <v/>
      </c>
      <c r="M10" s="17"/>
      <c r="N10" s="17"/>
    </row>
    <row r="11" spans="2:14" x14ac:dyDescent="0.25">
      <c r="B11" s="80" t="s">
        <v>963</v>
      </c>
      <c r="C11" s="7" t="s">
        <v>964</v>
      </c>
      <c r="D11" s="21"/>
      <c r="E11" s="16"/>
      <c r="F11" s="16"/>
      <c r="G11" s="17"/>
      <c r="H11" s="18" t="str">
        <f>IF(E11="","",F11*G11)</f>
        <v/>
      </c>
      <c r="I11" s="19"/>
      <c r="K11" s="17"/>
      <c r="L11" s="48" t="str">
        <f t="shared" si="0"/>
        <v/>
      </c>
      <c r="M11" s="17"/>
      <c r="N11" s="17"/>
    </row>
    <row r="12" spans="2:14" x14ac:dyDescent="0.25">
      <c r="B12" s="53"/>
      <c r="C12" s="57"/>
      <c r="D12" s="15"/>
      <c r="E12" s="16"/>
      <c r="F12" s="16"/>
      <c r="G12" s="17"/>
      <c r="H12" s="18" t="str">
        <f>IF(E12="","",F12*G12)</f>
        <v/>
      </c>
      <c r="I12" s="19"/>
      <c r="K12" s="17"/>
      <c r="L12" s="48" t="str">
        <f t="shared" si="0"/>
        <v/>
      </c>
      <c r="M12" s="17"/>
      <c r="N12" s="17"/>
    </row>
    <row r="13" spans="2:14" ht="26.4" x14ac:dyDescent="0.25">
      <c r="B13" s="159" t="s">
        <v>1514</v>
      </c>
      <c r="C13" s="62" t="s">
        <v>1515</v>
      </c>
      <c r="D13" s="17"/>
      <c r="E13" s="23"/>
      <c r="F13" s="24"/>
      <c r="G13" s="43"/>
      <c r="H13" s="18" t="str">
        <f>IF(E13="","",F13*G13)</f>
        <v/>
      </c>
      <c r="I13" s="44"/>
      <c r="K13" s="43"/>
      <c r="L13" s="48" t="str">
        <f t="shared" si="0"/>
        <v/>
      </c>
      <c r="M13" s="43"/>
      <c r="N13" s="43"/>
    </row>
    <row r="14" spans="2:14" x14ac:dyDescent="0.25">
      <c r="B14" s="154"/>
      <c r="D14" s="55"/>
      <c r="E14" s="23"/>
      <c r="F14" s="24"/>
      <c r="G14" s="41"/>
      <c r="H14" s="18"/>
      <c r="I14" s="45"/>
      <c r="K14" s="41"/>
      <c r="L14" s="48" t="str">
        <f t="shared" si="0"/>
        <v/>
      </c>
      <c r="M14" s="41"/>
      <c r="N14" s="41"/>
    </row>
    <row r="15" spans="2:14" ht="15.6" x14ac:dyDescent="0.25">
      <c r="B15" s="159" t="s">
        <v>1516</v>
      </c>
      <c r="C15" s="39" t="s">
        <v>1517</v>
      </c>
      <c r="D15" s="70"/>
      <c r="E15" s="23" t="s">
        <v>44</v>
      </c>
      <c r="F15" s="24">
        <v>1</v>
      </c>
      <c r="G15" s="41"/>
      <c r="H15" s="18">
        <f t="shared" ref="H15:H18" si="1">IF(E15="","",F15*G15)</f>
        <v>0</v>
      </c>
      <c r="I15" s="44"/>
      <c r="K15" s="41"/>
      <c r="L15" s="48" t="str">
        <f t="shared" si="0"/>
        <v/>
      </c>
      <c r="M15" s="41"/>
      <c r="N15" s="41"/>
    </row>
    <row r="16" spans="2:14" x14ac:dyDescent="0.25">
      <c r="B16" s="159"/>
      <c r="C16" s="39"/>
      <c r="D16" s="70"/>
      <c r="E16" s="23"/>
      <c r="F16" s="24"/>
      <c r="G16" s="211"/>
      <c r="H16" s="18" t="str">
        <f t="shared" si="1"/>
        <v/>
      </c>
      <c r="I16" s="44"/>
      <c r="K16" s="211">
        <f>4%*G16</f>
        <v>0</v>
      </c>
      <c r="L16" s="48">
        <f t="shared" si="0"/>
        <v>0</v>
      </c>
      <c r="M16" s="211"/>
      <c r="N16" s="211"/>
    </row>
    <row r="17" spans="2:14" ht="15.6" x14ac:dyDescent="0.25">
      <c r="B17" s="159" t="s">
        <v>1522</v>
      </c>
      <c r="C17" s="39" t="s">
        <v>1523</v>
      </c>
      <c r="D17" s="70"/>
      <c r="E17" s="23" t="s">
        <v>44</v>
      </c>
      <c r="F17" s="24">
        <v>1</v>
      </c>
      <c r="G17" s="41"/>
      <c r="H17" s="18">
        <f t="shared" si="1"/>
        <v>0</v>
      </c>
      <c r="I17" s="19"/>
      <c r="K17" s="211"/>
      <c r="L17" s="48"/>
      <c r="M17" s="211"/>
      <c r="N17" s="211"/>
    </row>
    <row r="18" spans="2:14" x14ac:dyDescent="0.25">
      <c r="B18" s="154"/>
      <c r="D18" s="55"/>
      <c r="E18" s="40"/>
      <c r="F18" s="27"/>
      <c r="G18" s="211"/>
      <c r="H18" s="18" t="str">
        <f t="shared" si="1"/>
        <v/>
      </c>
      <c r="I18" s="19"/>
      <c r="K18" s="211">
        <f>4%*G18</f>
        <v>0</v>
      </c>
      <c r="L18" s="48">
        <f t="shared" si="0"/>
        <v>0</v>
      </c>
      <c r="M18" s="211"/>
      <c r="N18" s="211"/>
    </row>
    <row r="19" spans="2:14" ht="26.4" x14ac:dyDescent="0.25">
      <c r="B19" s="159" t="s">
        <v>635</v>
      </c>
      <c r="C19" s="62" t="s">
        <v>634</v>
      </c>
      <c r="D19" s="17"/>
      <c r="E19" s="23"/>
      <c r="F19" s="24"/>
      <c r="G19" s="41"/>
      <c r="H19" s="18" t="str">
        <f t="shared" ref="H19:H23" si="2">IF(E19="","",F19*G19)</f>
        <v/>
      </c>
      <c r="I19" s="19"/>
      <c r="K19" s="211"/>
      <c r="L19" s="48" t="str">
        <f t="shared" si="0"/>
        <v/>
      </c>
      <c r="M19" s="211"/>
      <c r="N19" s="211"/>
    </row>
    <row r="20" spans="2:14" x14ac:dyDescent="0.25">
      <c r="B20" s="154"/>
      <c r="D20" s="55"/>
      <c r="E20" s="23"/>
      <c r="F20" s="24"/>
      <c r="G20" s="41"/>
      <c r="H20" s="18" t="str">
        <f t="shared" si="2"/>
        <v/>
      </c>
      <c r="I20" s="19"/>
      <c r="K20" s="211">
        <f>4%*G20</f>
        <v>0</v>
      </c>
      <c r="L20" s="48">
        <f t="shared" si="0"/>
        <v>0</v>
      </c>
      <c r="M20" s="211"/>
      <c r="N20" s="211"/>
    </row>
    <row r="21" spans="2:14" ht="15.6" x14ac:dyDescent="0.25">
      <c r="B21" s="159" t="s">
        <v>633</v>
      </c>
      <c r="C21" s="39" t="s">
        <v>313</v>
      </c>
      <c r="D21" s="69" t="s">
        <v>1602</v>
      </c>
      <c r="E21" s="23" t="s">
        <v>34</v>
      </c>
      <c r="F21" s="24">
        <f>49580*0.8</f>
        <v>39664</v>
      </c>
      <c r="G21" s="211"/>
      <c r="H21" s="18">
        <f t="shared" si="2"/>
        <v>0</v>
      </c>
      <c r="I21" s="44"/>
      <c r="K21" s="211"/>
      <c r="L21" s="48" t="str">
        <f t="shared" si="0"/>
        <v/>
      </c>
      <c r="M21" s="211"/>
      <c r="N21" s="211"/>
    </row>
    <row r="22" spans="2:14" x14ac:dyDescent="0.25">
      <c r="B22" s="154"/>
      <c r="D22" s="55"/>
      <c r="E22" s="40"/>
      <c r="F22" s="27"/>
      <c r="G22" s="211"/>
      <c r="H22" s="18" t="str">
        <f t="shared" si="2"/>
        <v/>
      </c>
      <c r="I22" s="44"/>
      <c r="K22" s="211"/>
      <c r="L22" s="48" t="str">
        <f t="shared" si="0"/>
        <v/>
      </c>
      <c r="M22" s="211"/>
      <c r="N22" s="211"/>
    </row>
    <row r="23" spans="2:14" ht="15.6" x14ac:dyDescent="0.25">
      <c r="B23" s="154" t="s">
        <v>632</v>
      </c>
      <c r="C23" s="3" t="s">
        <v>607</v>
      </c>
      <c r="D23" s="69" t="s">
        <v>1602</v>
      </c>
      <c r="E23" s="40" t="s">
        <v>34</v>
      </c>
      <c r="F23" s="27">
        <f>49580*0.2</f>
        <v>9916</v>
      </c>
      <c r="G23" s="211"/>
      <c r="H23" s="18">
        <f t="shared" si="2"/>
        <v>0</v>
      </c>
      <c r="I23" s="44"/>
      <c r="K23" s="211"/>
      <c r="L23" s="48" t="str">
        <f t="shared" si="0"/>
        <v/>
      </c>
      <c r="M23" s="211"/>
      <c r="N23" s="211"/>
    </row>
    <row r="24" spans="2:14" x14ac:dyDescent="0.25">
      <c r="B24" s="154"/>
      <c r="D24" s="55"/>
      <c r="E24" s="40"/>
      <c r="F24" s="27"/>
      <c r="G24" s="211"/>
      <c r="H24" s="18"/>
      <c r="I24" s="44"/>
      <c r="K24" s="211">
        <f>4%*G24</f>
        <v>0</v>
      </c>
      <c r="L24" s="48">
        <f t="shared" si="0"/>
        <v>0</v>
      </c>
      <c r="M24" s="211"/>
      <c r="N24" s="211"/>
    </row>
    <row r="25" spans="2:14" ht="15.6" x14ac:dyDescent="0.25">
      <c r="B25" s="154" t="s">
        <v>631</v>
      </c>
      <c r="C25" s="3" t="s">
        <v>605</v>
      </c>
      <c r="D25" s="69" t="s">
        <v>1602</v>
      </c>
      <c r="E25" s="40" t="s">
        <v>34</v>
      </c>
      <c r="F25" s="27">
        <f>49580*0.1</f>
        <v>4958</v>
      </c>
      <c r="G25" s="211"/>
      <c r="H25" s="18">
        <f t="shared" ref="H25:H41" si="3">IF(E25="","",F25*G25)</f>
        <v>0</v>
      </c>
      <c r="I25" s="44"/>
      <c r="K25" s="211"/>
      <c r="L25" s="48" t="str">
        <f t="shared" si="0"/>
        <v/>
      </c>
      <c r="M25" s="211"/>
      <c r="N25" s="211"/>
    </row>
    <row r="26" spans="2:14" x14ac:dyDescent="0.25">
      <c r="B26" s="154"/>
      <c r="D26" s="55"/>
      <c r="E26" s="40"/>
      <c r="F26" s="27"/>
      <c r="G26" s="211"/>
      <c r="H26" s="18" t="str">
        <f t="shared" si="3"/>
        <v/>
      </c>
      <c r="I26" s="44"/>
      <c r="K26" s="211"/>
      <c r="L26" s="48" t="str">
        <f t="shared" si="0"/>
        <v/>
      </c>
      <c r="M26" s="211"/>
      <c r="N26" s="211"/>
    </row>
    <row r="27" spans="2:14" ht="15.6" x14ac:dyDescent="0.25">
      <c r="B27" s="154" t="s">
        <v>630</v>
      </c>
      <c r="C27" s="3" t="s">
        <v>315</v>
      </c>
      <c r="D27" s="69" t="s">
        <v>1602</v>
      </c>
      <c r="E27" s="40" t="s">
        <v>34</v>
      </c>
      <c r="F27" s="27">
        <f>49580*0.05</f>
        <v>2479</v>
      </c>
      <c r="G27" s="211"/>
      <c r="H27" s="18">
        <f t="shared" si="3"/>
        <v>0</v>
      </c>
      <c r="I27" s="44"/>
      <c r="K27" s="211"/>
      <c r="L27" s="48" t="str">
        <f t="shared" si="0"/>
        <v/>
      </c>
      <c r="M27" s="211"/>
      <c r="N27" s="211"/>
    </row>
    <row r="28" spans="2:14" x14ac:dyDescent="0.25">
      <c r="B28" s="53"/>
      <c r="C28" s="57"/>
      <c r="D28" s="15"/>
      <c r="E28" s="23"/>
      <c r="F28" s="24"/>
      <c r="G28" s="211"/>
      <c r="H28" s="18" t="str">
        <f t="shared" si="3"/>
        <v/>
      </c>
      <c r="I28" s="44"/>
      <c r="K28" s="211">
        <f>4%*G28</f>
        <v>0</v>
      </c>
      <c r="L28" s="48">
        <f t="shared" si="0"/>
        <v>0</v>
      </c>
      <c r="M28" s="211"/>
      <c r="N28" s="211"/>
    </row>
    <row r="29" spans="2:14" x14ac:dyDescent="0.25">
      <c r="B29" s="159" t="s">
        <v>629</v>
      </c>
      <c r="C29" s="62" t="s">
        <v>628</v>
      </c>
      <c r="D29" s="17"/>
      <c r="E29" s="23"/>
      <c r="F29" s="23"/>
      <c r="G29" s="211"/>
      <c r="H29" s="18" t="str">
        <f t="shared" si="3"/>
        <v/>
      </c>
      <c r="I29" s="44"/>
      <c r="K29" s="211"/>
      <c r="L29" s="48" t="str">
        <f t="shared" si="0"/>
        <v/>
      </c>
      <c r="M29" s="211"/>
      <c r="N29" s="211"/>
    </row>
    <row r="30" spans="2:14" x14ac:dyDescent="0.25">
      <c r="B30" s="154"/>
      <c r="D30" s="55"/>
      <c r="E30" s="23"/>
      <c r="F30" s="23"/>
      <c r="G30" s="211"/>
      <c r="H30" s="18" t="str">
        <f t="shared" si="3"/>
        <v/>
      </c>
      <c r="I30" s="44"/>
      <c r="K30" s="211">
        <f>4%*G30</f>
        <v>0</v>
      </c>
      <c r="L30" s="48">
        <f t="shared" si="0"/>
        <v>0</v>
      </c>
      <c r="M30" s="211"/>
      <c r="N30" s="211"/>
    </row>
    <row r="31" spans="2:14" ht="15.6" x14ac:dyDescent="0.25">
      <c r="B31" s="159" t="s">
        <v>627</v>
      </c>
      <c r="C31" s="39" t="s">
        <v>626</v>
      </c>
      <c r="D31" s="70"/>
      <c r="E31" s="40" t="s">
        <v>34</v>
      </c>
      <c r="F31" s="23">
        <v>100</v>
      </c>
      <c r="G31" s="211"/>
      <c r="H31" s="18">
        <f t="shared" si="3"/>
        <v>0</v>
      </c>
      <c r="I31" s="44"/>
      <c r="K31" s="211"/>
      <c r="L31" s="48" t="str">
        <f t="shared" si="0"/>
        <v/>
      </c>
      <c r="M31" s="211"/>
      <c r="N31" s="211"/>
    </row>
    <row r="32" spans="2:14" x14ac:dyDescent="0.25">
      <c r="B32" s="154"/>
      <c r="D32" s="55"/>
      <c r="E32" s="23"/>
      <c r="F32" s="23"/>
      <c r="G32" s="211"/>
      <c r="H32" s="18" t="str">
        <f t="shared" si="3"/>
        <v/>
      </c>
      <c r="I32" s="44"/>
      <c r="K32" s="211">
        <f>2%*G32</f>
        <v>0</v>
      </c>
      <c r="L32" s="48">
        <f t="shared" si="0"/>
        <v>0</v>
      </c>
      <c r="M32" s="211"/>
      <c r="N32" s="211"/>
    </row>
    <row r="33" spans="2:14" ht="26.4" x14ac:dyDescent="0.25">
      <c r="B33" s="159" t="s">
        <v>625</v>
      </c>
      <c r="C33" s="62" t="s">
        <v>624</v>
      </c>
      <c r="D33" s="17"/>
      <c r="E33" s="23"/>
      <c r="F33" s="23"/>
      <c r="G33" s="211"/>
      <c r="H33" s="18" t="str">
        <f t="shared" si="3"/>
        <v/>
      </c>
      <c r="I33" s="44"/>
      <c r="K33" s="211"/>
      <c r="L33" s="48" t="str">
        <f t="shared" si="0"/>
        <v/>
      </c>
      <c r="M33" s="211"/>
      <c r="N33" s="211"/>
    </row>
    <row r="34" spans="2:14" x14ac:dyDescent="0.25">
      <c r="B34" s="154"/>
      <c r="D34" s="55"/>
      <c r="E34" s="23"/>
      <c r="F34" s="23"/>
      <c r="G34" s="211"/>
      <c r="H34" s="18" t="str">
        <f t="shared" si="3"/>
        <v/>
      </c>
      <c r="I34" s="44"/>
      <c r="K34" s="211"/>
      <c r="L34" s="48" t="str">
        <f t="shared" si="0"/>
        <v/>
      </c>
      <c r="M34" s="211"/>
      <c r="N34" s="211"/>
    </row>
    <row r="35" spans="2:14" ht="15.6" x14ac:dyDescent="0.25">
      <c r="B35" s="159" t="s">
        <v>623</v>
      </c>
      <c r="C35" s="39" t="s">
        <v>622</v>
      </c>
      <c r="D35" s="70"/>
      <c r="E35" s="40" t="s">
        <v>34</v>
      </c>
      <c r="F35" s="23">
        <v>45621</v>
      </c>
      <c r="G35" s="211"/>
      <c r="H35" s="18">
        <f t="shared" si="3"/>
        <v>0</v>
      </c>
      <c r="I35" s="44"/>
      <c r="K35" s="211"/>
      <c r="L35" s="48" t="str">
        <f t="shared" si="0"/>
        <v/>
      </c>
      <c r="M35" s="211"/>
      <c r="N35" s="211"/>
    </row>
    <row r="36" spans="2:14" x14ac:dyDescent="0.25">
      <c r="B36" s="154"/>
      <c r="D36" s="55"/>
      <c r="E36" s="23"/>
      <c r="F36" s="23"/>
      <c r="G36" s="211"/>
      <c r="H36" s="18" t="str">
        <f t="shared" si="3"/>
        <v/>
      </c>
      <c r="K36" s="211"/>
      <c r="L36" s="48" t="str">
        <f t="shared" si="0"/>
        <v/>
      </c>
      <c r="M36" s="211"/>
      <c r="N36" s="211"/>
    </row>
    <row r="37" spans="2:14" ht="15.6" x14ac:dyDescent="0.25">
      <c r="B37" s="159" t="s">
        <v>621</v>
      </c>
      <c r="C37" s="39" t="s">
        <v>607</v>
      </c>
      <c r="D37" s="70"/>
      <c r="E37" s="40" t="s">
        <v>34</v>
      </c>
      <c r="F37" s="23">
        <v>1500</v>
      </c>
      <c r="G37" s="211"/>
      <c r="H37" s="18">
        <f t="shared" si="3"/>
        <v>0</v>
      </c>
      <c r="I37" s="44"/>
      <c r="K37" s="211"/>
      <c r="L37" s="48" t="str">
        <f t="shared" si="0"/>
        <v/>
      </c>
      <c r="M37" s="211"/>
      <c r="N37" s="211"/>
    </row>
    <row r="38" spans="2:14" x14ac:dyDescent="0.25">
      <c r="B38" s="154"/>
      <c r="D38" s="55"/>
      <c r="E38" s="23"/>
      <c r="F38" s="23"/>
      <c r="G38" s="211"/>
      <c r="H38" s="18" t="str">
        <f t="shared" si="3"/>
        <v/>
      </c>
      <c r="I38" s="52"/>
      <c r="K38" s="211"/>
      <c r="L38" s="48" t="str">
        <f t="shared" si="0"/>
        <v/>
      </c>
      <c r="M38" s="211"/>
      <c r="N38" s="211"/>
    </row>
    <row r="39" spans="2:14" ht="15.6" x14ac:dyDescent="0.25">
      <c r="B39" s="159" t="s">
        <v>620</v>
      </c>
      <c r="C39" s="39" t="s">
        <v>315</v>
      </c>
      <c r="D39" s="70"/>
      <c r="E39" s="40" t="s">
        <v>34</v>
      </c>
      <c r="F39" s="23">
        <v>1000</v>
      </c>
      <c r="G39" s="211"/>
      <c r="H39" s="18">
        <f t="shared" si="3"/>
        <v>0</v>
      </c>
      <c r="K39" s="211"/>
      <c r="L39" s="48" t="str">
        <f t="shared" si="0"/>
        <v/>
      </c>
      <c r="M39" s="211"/>
      <c r="N39" s="211"/>
    </row>
    <row r="40" spans="2:14" x14ac:dyDescent="0.25">
      <c r="B40" s="154"/>
      <c r="D40" s="55"/>
      <c r="E40" s="23"/>
      <c r="F40" s="23"/>
      <c r="G40" s="211"/>
      <c r="H40" s="18" t="str">
        <f t="shared" si="3"/>
        <v/>
      </c>
      <c r="I40" s="44"/>
      <c r="K40" s="211"/>
      <c r="L40" s="48" t="str">
        <f t="shared" si="0"/>
        <v/>
      </c>
      <c r="M40" s="211"/>
      <c r="N40" s="211"/>
    </row>
    <row r="41" spans="2:14" x14ac:dyDescent="0.25">
      <c r="B41" s="159" t="s">
        <v>619</v>
      </c>
      <c r="C41" s="39" t="s">
        <v>618</v>
      </c>
      <c r="D41" s="70"/>
      <c r="E41" s="23"/>
      <c r="F41" s="23"/>
      <c r="G41" s="211"/>
      <c r="H41" s="18" t="str">
        <f t="shared" si="3"/>
        <v/>
      </c>
      <c r="I41" s="44"/>
      <c r="K41" s="211"/>
      <c r="L41" s="48" t="str">
        <f t="shared" si="0"/>
        <v/>
      </c>
      <c r="M41" s="211"/>
      <c r="N41" s="211"/>
    </row>
    <row r="42" spans="2:14" x14ac:dyDescent="0.25">
      <c r="B42" s="154"/>
      <c r="C42" s="57"/>
      <c r="D42" s="15"/>
      <c r="E42" s="23"/>
      <c r="F42" s="23"/>
      <c r="G42" s="211"/>
      <c r="H42" s="18"/>
      <c r="I42" s="44"/>
      <c r="K42" s="211">
        <f>_Excavation*0.2</f>
        <v>26.8</v>
      </c>
      <c r="L42" s="48">
        <f>IF(K42="","",K42*F42)</f>
        <v>0</v>
      </c>
      <c r="M42" s="211"/>
      <c r="N42" s="211"/>
    </row>
    <row r="43" spans="2:14" x14ac:dyDescent="0.25">
      <c r="B43" s="159" t="s">
        <v>617</v>
      </c>
      <c r="C43" s="39" t="s">
        <v>616</v>
      </c>
      <c r="D43" s="70"/>
      <c r="E43" s="23"/>
      <c r="F43" s="40"/>
      <c r="G43" s="211"/>
      <c r="H43" s="18"/>
      <c r="I43" s="44"/>
      <c r="K43" s="211"/>
      <c r="L43" s="48" t="str">
        <f t="shared" si="0"/>
        <v/>
      </c>
      <c r="M43" s="211"/>
      <c r="N43" s="211"/>
    </row>
    <row r="44" spans="2:14" x14ac:dyDescent="0.25">
      <c r="B44" s="53"/>
      <c r="C44" s="57"/>
      <c r="D44" s="15"/>
      <c r="E44" s="23"/>
      <c r="F44" s="23"/>
      <c r="G44" s="211"/>
      <c r="H44" s="18"/>
      <c r="I44" s="44"/>
      <c r="K44" s="41"/>
      <c r="L44" s="48"/>
      <c r="M44" s="41"/>
      <c r="N44" s="41"/>
    </row>
    <row r="45" spans="2:14" ht="15.6" x14ac:dyDescent="0.25">
      <c r="B45" s="53" t="s">
        <v>49</v>
      </c>
      <c r="C45" s="39" t="s">
        <v>966</v>
      </c>
      <c r="D45" s="70"/>
      <c r="E45" s="23" t="s">
        <v>80</v>
      </c>
      <c r="F45" s="40">
        <v>100</v>
      </c>
      <c r="G45" s="211"/>
      <c r="H45" s="18">
        <f>IF(E45="","",F45*G45)</f>
        <v>0</v>
      </c>
      <c r="I45" s="44"/>
      <c r="K45" s="41"/>
      <c r="L45" s="48"/>
      <c r="M45" s="41"/>
      <c r="N45" s="41"/>
    </row>
    <row r="46" spans="2:14" x14ac:dyDescent="0.25">
      <c r="B46" s="53"/>
      <c r="D46" s="55"/>
      <c r="E46" s="23"/>
      <c r="F46" s="40"/>
      <c r="G46" s="211"/>
      <c r="H46" s="18" t="str">
        <f>IF(E46="","",F46*G46)</f>
        <v/>
      </c>
      <c r="I46" s="44"/>
      <c r="K46" s="41"/>
      <c r="L46" s="48"/>
      <c r="M46" s="41"/>
      <c r="N46" s="41"/>
    </row>
    <row r="47" spans="2:14" ht="15.6" x14ac:dyDescent="0.25">
      <c r="B47" s="53" t="s">
        <v>51</v>
      </c>
      <c r="C47" s="39" t="s">
        <v>967</v>
      </c>
      <c r="D47" s="70"/>
      <c r="E47" s="23" t="s">
        <v>80</v>
      </c>
      <c r="F47" s="23">
        <v>400</v>
      </c>
      <c r="G47" s="211"/>
      <c r="H47" s="18">
        <f>IF(E47="","",F47*G47)</f>
        <v>0</v>
      </c>
      <c r="I47" s="44"/>
      <c r="K47" s="41"/>
      <c r="L47" s="48"/>
      <c r="M47" s="41"/>
      <c r="N47" s="41"/>
    </row>
    <row r="48" spans="2:14" x14ac:dyDescent="0.25">
      <c r="B48" s="53"/>
      <c r="D48" s="55"/>
      <c r="E48" s="23"/>
      <c r="F48" s="23"/>
      <c r="G48" s="211"/>
      <c r="H48" s="18" t="str">
        <f>IF(E48="","",F48*G48)</f>
        <v/>
      </c>
      <c r="I48" s="44"/>
      <c r="K48" s="41"/>
      <c r="L48" s="48"/>
      <c r="M48" s="41"/>
      <c r="N48" s="41"/>
    </row>
    <row r="49" spans="2:14" ht="26.4" x14ac:dyDescent="0.25">
      <c r="B49" s="53" t="s">
        <v>53</v>
      </c>
      <c r="C49" s="62" t="s">
        <v>968</v>
      </c>
      <c r="D49" s="17"/>
      <c r="E49" s="23" t="s">
        <v>80</v>
      </c>
      <c r="F49" s="23">
        <v>3000</v>
      </c>
      <c r="G49" s="211"/>
      <c r="H49" s="18">
        <f>IF(E49="","",F49*G49)</f>
        <v>0</v>
      </c>
      <c r="I49" s="44"/>
      <c r="K49" s="41"/>
      <c r="L49" s="48"/>
      <c r="M49" s="41"/>
      <c r="N49" s="41"/>
    </row>
    <row r="50" spans="2:14" x14ac:dyDescent="0.25">
      <c r="B50" s="53"/>
      <c r="C50" s="62"/>
      <c r="D50" s="17"/>
      <c r="E50" s="23"/>
      <c r="F50" s="23"/>
      <c r="G50" s="211"/>
      <c r="H50" s="18"/>
      <c r="I50" s="44"/>
      <c r="K50" s="41"/>
      <c r="L50" s="48"/>
      <c r="M50" s="41"/>
      <c r="N50" s="41"/>
    </row>
    <row r="51" spans="2:14" x14ac:dyDescent="0.25">
      <c r="B51" s="53"/>
      <c r="D51" s="55"/>
      <c r="E51" s="23"/>
      <c r="F51" s="23"/>
      <c r="G51" s="41"/>
      <c r="H51" s="18"/>
      <c r="I51" s="44"/>
      <c r="K51" s="41"/>
      <c r="L51" s="48"/>
      <c r="M51" s="41"/>
      <c r="N51" s="41"/>
    </row>
    <row r="52" spans="2:14" x14ac:dyDescent="0.25">
      <c r="B52" s="53"/>
      <c r="C52" s="39"/>
      <c r="D52" s="70"/>
      <c r="E52" s="23"/>
      <c r="F52" s="23"/>
      <c r="G52" s="41"/>
      <c r="H52" s="18"/>
      <c r="I52" s="44"/>
      <c r="K52" s="41"/>
      <c r="L52" s="48"/>
      <c r="M52" s="41"/>
      <c r="N52" s="41"/>
    </row>
    <row r="53" spans="2:14" x14ac:dyDescent="0.25">
      <c r="B53" s="53"/>
      <c r="D53" s="55"/>
      <c r="E53" s="23"/>
      <c r="F53" s="23"/>
      <c r="G53" s="41"/>
      <c r="H53" s="18"/>
      <c r="I53" s="44"/>
      <c r="K53" s="41"/>
      <c r="L53" s="48"/>
      <c r="M53" s="41"/>
      <c r="N53" s="41"/>
    </row>
    <row r="54" spans="2:14" x14ac:dyDescent="0.25">
      <c r="B54" s="53"/>
      <c r="C54" s="62"/>
      <c r="D54" s="17"/>
      <c r="E54" s="23"/>
      <c r="F54" s="23"/>
      <c r="G54" s="41"/>
      <c r="H54" s="18"/>
      <c r="I54" s="44"/>
      <c r="K54" s="211"/>
      <c r="L54" s="48"/>
      <c r="M54" s="41"/>
      <c r="N54" s="41"/>
    </row>
    <row r="55" spans="2:14" x14ac:dyDescent="0.25">
      <c r="B55" s="53"/>
      <c r="C55" s="62"/>
      <c r="D55" s="17"/>
      <c r="E55" s="23"/>
      <c r="F55" s="23"/>
      <c r="G55" s="211"/>
      <c r="H55" s="18" t="str">
        <f t="shared" ref="H55:H62" si="4">IF(E55="","",F55*G55)</f>
        <v/>
      </c>
      <c r="I55" s="44"/>
      <c r="K55" s="211"/>
      <c r="L55" s="48" t="str">
        <f t="shared" si="0"/>
        <v/>
      </c>
      <c r="M55" s="211"/>
      <c r="N55" s="211"/>
    </row>
    <row r="56" spans="2:14" x14ac:dyDescent="0.25">
      <c r="B56" s="53"/>
      <c r="C56" s="62"/>
      <c r="D56" s="17"/>
      <c r="E56" s="23"/>
      <c r="F56" s="23"/>
      <c r="G56" s="211"/>
      <c r="H56" s="18"/>
      <c r="I56" s="44"/>
      <c r="K56" s="211"/>
      <c r="L56" s="48" t="str">
        <f t="shared" si="0"/>
        <v/>
      </c>
      <c r="M56" s="211"/>
      <c r="N56" s="211"/>
    </row>
    <row r="57" spans="2:14" x14ac:dyDescent="0.25">
      <c r="B57" s="53"/>
      <c r="C57" s="62"/>
      <c r="D57" s="17"/>
      <c r="E57" s="23"/>
      <c r="F57" s="23"/>
      <c r="G57" s="211"/>
      <c r="H57" s="18"/>
      <c r="I57" s="44"/>
      <c r="K57" s="211"/>
      <c r="L57" s="48" t="str">
        <f t="shared" si="0"/>
        <v/>
      </c>
      <c r="M57" s="211"/>
      <c r="N57" s="211"/>
    </row>
    <row r="58" spans="2:14" x14ac:dyDescent="0.25">
      <c r="B58" s="53"/>
      <c r="C58" s="62"/>
      <c r="D58" s="17"/>
      <c r="E58" s="23"/>
      <c r="F58" s="23"/>
      <c r="G58" s="211"/>
      <c r="H58" s="18"/>
      <c r="I58" s="44"/>
      <c r="K58" s="211"/>
      <c r="L58" s="48" t="str">
        <f t="shared" si="0"/>
        <v/>
      </c>
      <c r="M58" s="211"/>
      <c r="N58" s="211"/>
    </row>
    <row r="59" spans="2:14" x14ac:dyDescent="0.25">
      <c r="B59" s="154"/>
      <c r="D59" s="55"/>
      <c r="E59" s="23"/>
      <c r="F59" s="23"/>
      <c r="G59" s="211"/>
      <c r="H59" s="18" t="str">
        <f t="shared" si="4"/>
        <v/>
      </c>
      <c r="I59" s="44"/>
      <c r="K59" s="211"/>
      <c r="L59" s="48" t="str">
        <f t="shared" si="0"/>
        <v/>
      </c>
      <c r="M59" s="211"/>
      <c r="N59" s="211"/>
    </row>
    <row r="60" spans="2:14" x14ac:dyDescent="0.25">
      <c r="B60" s="154"/>
      <c r="D60" s="55"/>
      <c r="E60" s="23"/>
      <c r="F60" s="23"/>
      <c r="G60" s="211"/>
      <c r="H60" s="18" t="str">
        <f t="shared" si="4"/>
        <v/>
      </c>
      <c r="I60" s="44"/>
      <c r="K60" s="211"/>
      <c r="L60" s="48" t="str">
        <f t="shared" si="0"/>
        <v/>
      </c>
      <c r="M60" s="211"/>
      <c r="N60" s="211"/>
    </row>
    <row r="61" spans="2:14" x14ac:dyDescent="0.25">
      <c r="B61" s="154"/>
      <c r="D61" s="55"/>
      <c r="E61" s="23"/>
      <c r="F61" s="23"/>
      <c r="G61" s="211"/>
      <c r="H61" s="18" t="str">
        <f t="shared" si="4"/>
        <v/>
      </c>
      <c r="I61" s="44"/>
      <c r="K61" s="211"/>
      <c r="L61" s="48" t="str">
        <f t="shared" si="0"/>
        <v/>
      </c>
      <c r="M61" s="211"/>
      <c r="N61" s="211"/>
    </row>
    <row r="62" spans="2:14" x14ac:dyDescent="0.25">
      <c r="B62" s="154"/>
      <c r="D62" s="55"/>
      <c r="E62" s="23"/>
      <c r="F62" s="23"/>
      <c r="G62" s="211"/>
      <c r="H62" s="18" t="str">
        <f t="shared" si="4"/>
        <v/>
      </c>
      <c r="I62" s="44"/>
      <c r="K62" s="211"/>
      <c r="L62" s="48" t="str">
        <f t="shared" si="0"/>
        <v/>
      </c>
      <c r="M62" s="211"/>
      <c r="N62" s="211"/>
    </row>
    <row r="63" spans="2:14" x14ac:dyDescent="0.25">
      <c r="B63" s="154"/>
      <c r="D63" s="485"/>
      <c r="E63" s="23"/>
      <c r="F63" s="23"/>
      <c r="G63" s="211"/>
      <c r="H63" s="18" t="str">
        <f>IF(E63="","",F63*G63)</f>
        <v/>
      </c>
      <c r="I63" s="44"/>
      <c r="K63" s="211"/>
      <c r="L63" s="48" t="str">
        <f t="shared" si="0"/>
        <v/>
      </c>
      <c r="M63" s="211"/>
      <c r="N63" s="211"/>
    </row>
    <row r="64" spans="2:14" s="31" customFormat="1" ht="19.5" customHeight="1" x14ac:dyDescent="0.25">
      <c r="B64" s="151" t="str">
        <f>$B$11</f>
        <v>C4.2</v>
      </c>
      <c r="C64" s="33" t="str">
        <f>"TOTAL CARRIED FORWARD"&amp;IF(H64=H$1," TO SUMMARY (Page C"&amp;Page_A&amp;")","")</f>
        <v>TOTAL CARRIED FORWARD TO SUMMARY (Page C57)</v>
      </c>
      <c r="D64" s="33"/>
      <c r="E64" s="34"/>
      <c r="F64" s="35"/>
      <c r="G64" s="34"/>
      <c r="H64" s="36">
        <f>SUM(H10:H63)</f>
        <v>0</v>
      </c>
      <c r="I64" s="37"/>
      <c r="K64" s="34"/>
      <c r="L64" s="36">
        <f>SUM(L10:L63)</f>
        <v>0</v>
      </c>
      <c r="M64" s="34"/>
      <c r="N64" s="34"/>
    </row>
  </sheetData>
  <mergeCells count="4">
    <mergeCell ref="F2:H2"/>
    <mergeCell ref="B6:G8"/>
    <mergeCell ref="H5:H8"/>
    <mergeCell ref="B5:G5"/>
  </mergeCells>
  <pageMargins left="0.62992125984251968" right="0.43307086614173229" top="0.62992125984251968" bottom="0.55118110236220474" header="0.51181102362204722" footer="0.31496062992125984"/>
  <pageSetup paperSize="9" scale="75"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1D634-D43C-4E5E-BE94-4AFC972C4ABA}">
  <sheetPr codeName="Sheet55">
    <tabColor rgb="FF92D050"/>
  </sheetPr>
  <dimension ref="B1:N49"/>
  <sheetViews>
    <sheetView view="pageBreakPreview" zoomScaleNormal="125" zoomScaleSheetLayoutView="100" zoomScalePageLayoutView="125" workbookViewId="0">
      <selection activeCell="G34" sqref="G34"/>
    </sheetView>
  </sheetViews>
  <sheetFormatPr defaultColWidth="6.6640625" defaultRowHeight="13.2" x14ac:dyDescent="0.25"/>
  <cols>
    <col min="1" max="1" width="0.6640625" style="1" customWidth="1"/>
    <col min="2" max="2" width="11.5546875" style="38" customWidth="1"/>
    <col min="3" max="3" width="45.5546875" style="3" customWidth="1"/>
    <col min="4" max="4" width="5.664062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0" width="6.6640625" style="1"/>
    <col min="11" max="14" width="15.5546875" style="1" customWidth="1"/>
    <col min="15" max="16384" width="6.6640625" style="1"/>
  </cols>
  <sheetData>
    <row r="1" spans="2:14" x14ac:dyDescent="0.25">
      <c r="H1" s="234">
        <f>MAX(H9:H500)</f>
        <v>0</v>
      </c>
    </row>
    <row r="2" spans="2:14" x14ac:dyDescent="0.25">
      <c r="B2" s="2" t="str">
        <f>Client1</f>
        <v>Province of KwaZulu-Natal</v>
      </c>
      <c r="F2" s="510" t="str">
        <f>"Contract No. "&amp;ContractNo</f>
        <v>Contract No. ZNB02215/00000/00/HOD/INF/23/T</v>
      </c>
      <c r="G2" s="510"/>
      <c r="H2" s="510"/>
      <c r="K2" s="402"/>
      <c r="L2" s="402">
        <f>MAX(L3:L245)</f>
        <v>0</v>
      </c>
      <c r="M2" s="402"/>
      <c r="N2" s="403"/>
    </row>
    <row r="3" spans="2:14" x14ac:dyDescent="0.25">
      <c r="B3" s="96" t="str">
        <f>Client2</f>
        <v>Department of Transport</v>
      </c>
      <c r="K3" s="1" t="s">
        <v>1421</v>
      </c>
      <c r="L3" s="1" t="s">
        <v>1422</v>
      </c>
      <c r="M3" s="1" t="s">
        <v>1423</v>
      </c>
      <c r="N3" s="1" t="s">
        <v>1424</v>
      </c>
    </row>
    <row r="4" spans="2:14" x14ac:dyDescent="0.25">
      <c r="B4" s="84"/>
      <c r="C4" s="84"/>
      <c r="D4" s="84"/>
      <c r="E4" s="85"/>
      <c r="F4" s="85"/>
      <c r="G4" s="86"/>
      <c r="H4" s="98"/>
      <c r="K4" s="86"/>
      <c r="L4" s="86"/>
      <c r="M4" s="86"/>
      <c r="N4" s="86"/>
    </row>
    <row r="5" spans="2:14" x14ac:dyDescent="0.25">
      <c r="B5" s="507" t="s">
        <v>8</v>
      </c>
      <c r="C5" s="508"/>
      <c r="D5" s="508"/>
      <c r="E5" s="508"/>
      <c r="F5" s="508"/>
      <c r="G5" s="508"/>
      <c r="H5" s="504" t="str">
        <f>"CHAPTER "&amp;B11</f>
        <v>CHAPTER C4.3</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05"/>
      <c r="I6" s="9"/>
    </row>
    <row r="7" spans="2:14" ht="12.75" customHeight="1" x14ac:dyDescent="0.25">
      <c r="B7" s="500"/>
      <c r="C7" s="501"/>
      <c r="D7" s="501"/>
      <c r="E7" s="501"/>
      <c r="F7" s="501"/>
      <c r="G7" s="501"/>
      <c r="H7" s="505"/>
      <c r="I7" s="9"/>
    </row>
    <row r="8" spans="2:14" ht="7.5" customHeight="1" x14ac:dyDescent="0.25">
      <c r="B8" s="502"/>
      <c r="C8" s="503"/>
      <c r="D8" s="503"/>
      <c r="E8" s="503"/>
      <c r="F8" s="503"/>
      <c r="G8" s="503"/>
      <c r="H8" s="506"/>
      <c r="I8" s="9"/>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s="10" customFormat="1" x14ac:dyDescent="0.25">
      <c r="B10" s="94"/>
      <c r="C10" s="92"/>
      <c r="D10" s="92"/>
      <c r="E10" s="92"/>
      <c r="F10" s="92"/>
      <c r="G10" s="92"/>
      <c r="H10" s="92"/>
      <c r="I10" s="13"/>
      <c r="K10" s="92"/>
      <c r="L10" s="92"/>
      <c r="M10" s="92"/>
      <c r="N10" s="92"/>
    </row>
    <row r="11" spans="2:14" s="10" customFormat="1" x14ac:dyDescent="0.25">
      <c r="B11" s="80" t="s">
        <v>973</v>
      </c>
      <c r="C11" s="21" t="s">
        <v>975</v>
      </c>
      <c r="D11" s="21"/>
      <c r="E11" s="54"/>
      <c r="F11" s="54"/>
      <c r="G11" s="54"/>
      <c r="H11" s="54"/>
      <c r="I11" s="13"/>
      <c r="K11" s="54"/>
      <c r="L11" s="54"/>
      <c r="M11" s="54"/>
      <c r="N11" s="54"/>
    </row>
    <row r="12" spans="2:14" s="10" customFormat="1" x14ac:dyDescent="0.25">
      <c r="B12" s="22"/>
      <c r="C12" s="23"/>
      <c r="D12" s="23"/>
      <c r="E12" s="23"/>
      <c r="F12" s="23"/>
      <c r="G12" s="23"/>
      <c r="H12" s="23"/>
      <c r="I12" s="13"/>
      <c r="K12" s="23"/>
      <c r="L12" s="23"/>
      <c r="M12" s="23"/>
      <c r="N12" s="23"/>
    </row>
    <row r="13" spans="2:14" ht="26.4" x14ac:dyDescent="0.25">
      <c r="B13" s="155" t="s">
        <v>646</v>
      </c>
      <c r="C13" s="17" t="s">
        <v>645</v>
      </c>
      <c r="D13" s="17"/>
      <c r="E13" s="23"/>
      <c r="F13" s="23"/>
      <c r="G13" s="41"/>
      <c r="H13" s="18" t="str">
        <f>IF(E13="","",F13*G13)</f>
        <v/>
      </c>
      <c r="I13" s="19"/>
      <c r="K13" s="41"/>
      <c r="L13" s="48" t="str">
        <f t="shared" ref="L13:L36" si="0">IF(K13="","",K13*F13)</f>
        <v/>
      </c>
      <c r="M13" s="41"/>
      <c r="N13" s="41"/>
    </row>
    <row r="14" spans="2:14" x14ac:dyDescent="0.25">
      <c r="B14" s="154"/>
      <c r="C14" s="15"/>
      <c r="D14" s="15"/>
      <c r="E14" s="23"/>
      <c r="F14" s="23"/>
      <c r="G14" s="41"/>
      <c r="H14" s="18" t="str">
        <f>IF(E14="","",F14*G14)</f>
        <v/>
      </c>
      <c r="I14" s="44"/>
      <c r="K14" s="41"/>
      <c r="L14" s="48" t="str">
        <f t="shared" si="0"/>
        <v/>
      </c>
      <c r="M14" s="41"/>
      <c r="N14" s="41"/>
    </row>
    <row r="15" spans="2:14" x14ac:dyDescent="0.25">
      <c r="B15" s="155" t="s">
        <v>644</v>
      </c>
      <c r="C15" s="70" t="s">
        <v>643</v>
      </c>
      <c r="D15" s="70"/>
      <c r="E15" s="23"/>
      <c r="F15" s="23"/>
      <c r="G15" s="41"/>
      <c r="H15" s="18" t="str">
        <f>IF(E15="","",F15*G15)</f>
        <v/>
      </c>
      <c r="I15" s="44"/>
      <c r="K15" s="41"/>
      <c r="L15" s="48" t="str">
        <f t="shared" si="0"/>
        <v/>
      </c>
      <c r="M15" s="41"/>
      <c r="N15" s="41"/>
    </row>
    <row r="16" spans="2:14" x14ac:dyDescent="0.25">
      <c r="B16" s="53"/>
      <c r="C16" s="15"/>
      <c r="D16" s="15"/>
      <c r="E16" s="23"/>
      <c r="F16" s="23"/>
      <c r="G16" s="41"/>
      <c r="H16" s="18" t="str">
        <f>IF(E16="","",F16*G16)</f>
        <v/>
      </c>
      <c r="I16" s="44"/>
      <c r="K16" s="41"/>
      <c r="L16" s="48" t="str">
        <f t="shared" si="0"/>
        <v/>
      </c>
      <c r="M16" s="41"/>
      <c r="N16" s="41"/>
    </row>
    <row r="17" spans="2:14" x14ac:dyDescent="0.25">
      <c r="B17" s="53" t="s">
        <v>965</v>
      </c>
      <c r="C17" s="70" t="s">
        <v>971</v>
      </c>
      <c r="D17" s="70"/>
      <c r="E17" s="23" t="s">
        <v>6</v>
      </c>
      <c r="F17" s="23">
        <v>30</v>
      </c>
      <c r="G17" s="41"/>
      <c r="H17" s="18">
        <f>IF(E17="","",F17*G17)</f>
        <v>0</v>
      </c>
      <c r="I17" s="44"/>
      <c r="K17" s="41">
        <f>G17*3%</f>
        <v>0</v>
      </c>
      <c r="L17" s="48">
        <f t="shared" si="0"/>
        <v>0</v>
      </c>
      <c r="M17" s="41"/>
      <c r="N17" s="41"/>
    </row>
    <row r="18" spans="2:14" x14ac:dyDescent="0.25">
      <c r="B18" s="154"/>
      <c r="C18" s="55"/>
      <c r="D18" s="55"/>
      <c r="E18" s="40"/>
      <c r="F18" s="24"/>
      <c r="G18" s="25"/>
      <c r="H18" s="18"/>
      <c r="I18" s="45"/>
      <c r="K18" s="25"/>
      <c r="L18" s="48" t="str">
        <f t="shared" si="0"/>
        <v/>
      </c>
      <c r="M18" s="25"/>
      <c r="N18" s="25"/>
    </row>
    <row r="19" spans="2:14" x14ac:dyDescent="0.25">
      <c r="B19" s="53" t="s">
        <v>51</v>
      </c>
      <c r="C19" s="70" t="s">
        <v>972</v>
      </c>
      <c r="D19" s="70"/>
      <c r="E19" s="23" t="s">
        <v>6</v>
      </c>
      <c r="F19" s="23">
        <v>30</v>
      </c>
      <c r="G19" s="41"/>
      <c r="H19" s="18">
        <f>IF(E19="","",F19*G19)</f>
        <v>0</v>
      </c>
      <c r="I19" s="45"/>
      <c r="K19" s="41">
        <f>G19*5%</f>
        <v>0</v>
      </c>
      <c r="L19" s="48">
        <f t="shared" si="0"/>
        <v>0</v>
      </c>
      <c r="M19" s="41"/>
      <c r="N19" s="41"/>
    </row>
    <row r="20" spans="2:14" x14ac:dyDescent="0.25">
      <c r="B20" s="154"/>
      <c r="C20" s="55"/>
      <c r="D20" s="55"/>
      <c r="E20" s="40"/>
      <c r="F20" s="24"/>
      <c r="G20" s="25"/>
      <c r="H20" s="18"/>
      <c r="I20" s="45"/>
      <c r="K20" s="25"/>
      <c r="L20" s="48" t="str">
        <f t="shared" si="0"/>
        <v/>
      </c>
      <c r="M20" s="25"/>
      <c r="N20" s="25"/>
    </row>
    <row r="21" spans="2:14" x14ac:dyDescent="0.25">
      <c r="B21" s="53"/>
      <c r="C21" s="15"/>
      <c r="D21" s="15"/>
      <c r="E21" s="23"/>
      <c r="F21" s="23"/>
      <c r="G21" s="41"/>
      <c r="H21" s="18"/>
      <c r="I21" s="44"/>
      <c r="K21" s="41"/>
      <c r="L21" s="48" t="str">
        <f t="shared" si="0"/>
        <v/>
      </c>
      <c r="M21" s="41"/>
      <c r="N21" s="41"/>
    </row>
    <row r="22" spans="2:14" ht="39.6" x14ac:dyDescent="0.25">
      <c r="B22" s="155" t="s">
        <v>642</v>
      </c>
      <c r="C22" s="17" t="s">
        <v>1163</v>
      </c>
      <c r="D22" s="17"/>
      <c r="E22" s="23"/>
      <c r="F22" s="40"/>
      <c r="G22" s="48"/>
      <c r="H22" s="18" t="str">
        <f t="shared" ref="H22:H28" si="1">IF(E22="","",F22*G22)</f>
        <v/>
      </c>
      <c r="K22" s="48"/>
      <c r="L22" s="48" t="str">
        <f t="shared" si="0"/>
        <v/>
      </c>
      <c r="M22" s="48"/>
      <c r="N22" s="48"/>
    </row>
    <row r="23" spans="2:14" x14ac:dyDescent="0.25">
      <c r="B23" s="154"/>
      <c r="C23" s="55"/>
      <c r="D23" s="55"/>
      <c r="E23" s="23"/>
      <c r="F23" s="40"/>
      <c r="G23" s="48"/>
      <c r="H23" s="18" t="str">
        <f t="shared" si="1"/>
        <v/>
      </c>
      <c r="K23" s="48"/>
      <c r="L23" s="48" t="str">
        <f t="shared" si="0"/>
        <v/>
      </c>
      <c r="M23" s="48"/>
      <c r="N23" s="48"/>
    </row>
    <row r="24" spans="2:14" ht="15.6" x14ac:dyDescent="0.25">
      <c r="B24" s="155" t="s">
        <v>641</v>
      </c>
      <c r="C24" s="70" t="s">
        <v>640</v>
      </c>
      <c r="D24" s="70"/>
      <c r="E24" s="23" t="s">
        <v>34</v>
      </c>
      <c r="F24" s="40">
        <v>50</v>
      </c>
      <c r="G24" s="48"/>
      <c r="H24" s="18">
        <f t="shared" si="1"/>
        <v>0</v>
      </c>
      <c r="K24" s="48"/>
      <c r="L24" s="48" t="str">
        <f t="shared" si="0"/>
        <v/>
      </c>
      <c r="M24" s="48"/>
      <c r="N24" s="48"/>
    </row>
    <row r="25" spans="2:14" x14ac:dyDescent="0.25">
      <c r="B25" s="154"/>
      <c r="C25" s="55"/>
      <c r="D25" s="55"/>
      <c r="E25" s="23"/>
      <c r="F25" s="40"/>
      <c r="G25" s="48"/>
      <c r="H25" s="18" t="str">
        <f t="shared" si="1"/>
        <v/>
      </c>
      <c r="K25" s="48"/>
      <c r="L25" s="48" t="str">
        <f t="shared" si="0"/>
        <v/>
      </c>
      <c r="M25" s="48"/>
      <c r="N25" s="48"/>
    </row>
    <row r="26" spans="2:14" ht="15.6" x14ac:dyDescent="0.25">
      <c r="B26" s="155" t="s">
        <v>639</v>
      </c>
      <c r="C26" s="70" t="s">
        <v>638</v>
      </c>
      <c r="D26" s="70"/>
      <c r="E26" s="23" t="s">
        <v>34</v>
      </c>
      <c r="F26" s="40">
        <v>100</v>
      </c>
      <c r="G26" s="48"/>
      <c r="H26" s="18">
        <f t="shared" si="1"/>
        <v>0</v>
      </c>
      <c r="K26" s="48">
        <f>G26*3%</f>
        <v>0</v>
      </c>
      <c r="L26" s="48">
        <f t="shared" si="0"/>
        <v>0</v>
      </c>
      <c r="M26" s="48"/>
      <c r="N26" s="48"/>
    </row>
    <row r="27" spans="2:14" x14ac:dyDescent="0.25">
      <c r="B27" s="154"/>
      <c r="C27" s="55"/>
      <c r="D27" s="55"/>
      <c r="E27" s="23"/>
      <c r="F27" s="40"/>
      <c r="G27" s="48"/>
      <c r="H27" s="18" t="str">
        <f t="shared" si="1"/>
        <v/>
      </c>
      <c r="K27" s="48"/>
      <c r="L27" s="48" t="str">
        <f t="shared" si="0"/>
        <v/>
      </c>
      <c r="M27" s="48"/>
      <c r="N27" s="48"/>
    </row>
    <row r="28" spans="2:14" ht="15.6" x14ac:dyDescent="0.25">
      <c r="B28" s="155" t="s">
        <v>637</v>
      </c>
      <c r="C28" s="70" t="s">
        <v>636</v>
      </c>
      <c r="D28" s="70"/>
      <c r="E28" s="23" t="s">
        <v>34</v>
      </c>
      <c r="F28" s="40">
        <v>50</v>
      </c>
      <c r="G28" s="48"/>
      <c r="H28" s="18">
        <f t="shared" si="1"/>
        <v>0</v>
      </c>
      <c r="K28" s="48"/>
      <c r="L28" s="48" t="str">
        <f t="shared" si="0"/>
        <v/>
      </c>
      <c r="M28" s="48"/>
      <c r="N28" s="48"/>
    </row>
    <row r="29" spans="2:14" x14ac:dyDescent="0.25">
      <c r="B29" s="154"/>
      <c r="C29" s="55"/>
      <c r="D29" s="55"/>
      <c r="E29" s="23"/>
      <c r="F29" s="23"/>
      <c r="G29" s="41"/>
      <c r="H29" s="18"/>
      <c r="I29" s="44"/>
      <c r="K29" s="41"/>
      <c r="L29" s="48" t="str">
        <f t="shared" si="0"/>
        <v/>
      </c>
      <c r="M29" s="41"/>
      <c r="N29" s="41"/>
    </row>
    <row r="30" spans="2:14" x14ac:dyDescent="0.25">
      <c r="B30" s="155"/>
      <c r="C30" s="17"/>
      <c r="D30" s="17"/>
      <c r="E30" s="40"/>
      <c r="F30" s="23"/>
      <c r="G30" s="41"/>
      <c r="H30" s="18"/>
      <c r="I30" s="44"/>
      <c r="K30" s="41"/>
      <c r="L30" s="48" t="str">
        <f t="shared" si="0"/>
        <v/>
      </c>
      <c r="M30" s="41"/>
      <c r="N30" s="41"/>
    </row>
    <row r="31" spans="2:14" x14ac:dyDescent="0.25">
      <c r="B31" s="154"/>
      <c r="C31" s="55"/>
      <c r="D31" s="55"/>
      <c r="E31" s="23"/>
      <c r="F31" s="23"/>
      <c r="G31" s="41"/>
      <c r="H31" s="18"/>
      <c r="I31" s="44"/>
      <c r="K31" s="41"/>
      <c r="L31" s="48" t="str">
        <f t="shared" si="0"/>
        <v/>
      </c>
      <c r="M31" s="41"/>
      <c r="N31" s="41"/>
    </row>
    <row r="32" spans="2:14" x14ac:dyDescent="0.25">
      <c r="B32" s="155"/>
      <c r="C32" s="17"/>
      <c r="D32" s="17"/>
      <c r="E32" s="40"/>
      <c r="F32" s="23"/>
      <c r="G32" s="41"/>
      <c r="H32" s="18"/>
      <c r="I32" s="44"/>
      <c r="K32" s="41"/>
      <c r="L32" s="48" t="str">
        <f t="shared" si="0"/>
        <v/>
      </c>
      <c r="M32" s="41"/>
      <c r="N32" s="41"/>
    </row>
    <row r="33" spans="2:14" x14ac:dyDescent="0.25">
      <c r="B33" s="53"/>
      <c r="C33" s="15"/>
      <c r="D33" s="15"/>
      <c r="E33" s="23"/>
      <c r="F33" s="23"/>
      <c r="G33" s="41"/>
      <c r="H33" s="18"/>
      <c r="I33" s="44"/>
      <c r="K33" s="41"/>
      <c r="L33" s="48" t="str">
        <f t="shared" si="0"/>
        <v/>
      </c>
      <c r="M33" s="41"/>
      <c r="N33" s="41"/>
    </row>
    <row r="34" spans="2:14" x14ac:dyDescent="0.25">
      <c r="B34" s="155"/>
      <c r="C34" s="17"/>
      <c r="D34" s="17"/>
      <c r="E34" s="23"/>
      <c r="F34" s="23"/>
      <c r="G34" s="41"/>
      <c r="H34" s="18"/>
      <c r="I34" s="44"/>
      <c r="K34" s="41"/>
      <c r="L34" s="48" t="str">
        <f t="shared" si="0"/>
        <v/>
      </c>
      <c r="M34" s="41"/>
      <c r="N34" s="41"/>
    </row>
    <row r="35" spans="2:14" x14ac:dyDescent="0.25">
      <c r="B35" s="154"/>
      <c r="C35" s="15"/>
      <c r="D35" s="15"/>
      <c r="E35" s="23"/>
      <c r="F35" s="23"/>
      <c r="G35" s="41"/>
      <c r="H35" s="18"/>
      <c r="I35" s="44"/>
      <c r="K35" s="41"/>
      <c r="L35" s="48" t="str">
        <f t="shared" si="0"/>
        <v/>
      </c>
      <c r="M35" s="41"/>
      <c r="N35" s="41"/>
    </row>
    <row r="36" spans="2:14" x14ac:dyDescent="0.25">
      <c r="B36" s="155"/>
      <c r="C36" s="70"/>
      <c r="D36" s="70"/>
      <c r="E36" s="23"/>
      <c r="F36" s="23"/>
      <c r="G36" s="41"/>
      <c r="H36" s="18"/>
      <c r="I36" s="44"/>
      <c r="K36" s="41"/>
      <c r="L36" s="48" t="str">
        <f t="shared" si="0"/>
        <v/>
      </c>
      <c r="M36" s="41"/>
      <c r="N36" s="41"/>
    </row>
    <row r="37" spans="2:14" x14ac:dyDescent="0.25">
      <c r="B37" s="154"/>
      <c r="C37" s="55"/>
      <c r="D37" s="55"/>
      <c r="E37" s="23"/>
      <c r="F37" s="23"/>
      <c r="G37" s="41"/>
      <c r="H37" s="18"/>
      <c r="I37" s="44"/>
      <c r="K37" s="41"/>
      <c r="L37" s="41"/>
      <c r="M37" s="41"/>
      <c r="N37" s="41"/>
    </row>
    <row r="38" spans="2:14" x14ac:dyDescent="0.25">
      <c r="B38" s="155"/>
      <c r="C38" s="70"/>
      <c r="D38" s="70"/>
      <c r="E38" s="23"/>
      <c r="F38" s="23"/>
      <c r="G38" s="41"/>
      <c r="H38" s="18"/>
      <c r="I38" s="44"/>
      <c r="K38" s="41"/>
      <c r="L38" s="41"/>
      <c r="M38" s="41"/>
      <c r="N38" s="41"/>
    </row>
    <row r="39" spans="2:14" x14ac:dyDescent="0.25">
      <c r="B39" s="154"/>
      <c r="C39" s="55"/>
      <c r="D39" s="55"/>
      <c r="E39" s="23"/>
      <c r="F39" s="23"/>
      <c r="G39" s="41"/>
      <c r="H39" s="18"/>
      <c r="I39" s="44"/>
      <c r="K39" s="41"/>
      <c r="L39" s="41"/>
      <c r="M39" s="41"/>
      <c r="N39" s="41"/>
    </row>
    <row r="40" spans="2:14" x14ac:dyDescent="0.25">
      <c r="B40" s="155"/>
      <c r="C40" s="70"/>
      <c r="D40" s="70"/>
      <c r="E40" s="23"/>
      <c r="F40" s="23"/>
      <c r="G40" s="41"/>
      <c r="H40" s="18"/>
      <c r="I40" s="44"/>
      <c r="K40" s="41"/>
      <c r="L40" s="41"/>
      <c r="M40" s="41"/>
      <c r="N40" s="41"/>
    </row>
    <row r="41" spans="2:14" x14ac:dyDescent="0.25">
      <c r="B41" s="155"/>
      <c r="C41" s="70"/>
      <c r="D41" s="70"/>
      <c r="E41" s="23"/>
      <c r="F41" s="23"/>
      <c r="G41" s="41"/>
      <c r="H41" s="18"/>
      <c r="I41" s="44"/>
      <c r="K41" s="41"/>
      <c r="L41" s="41"/>
      <c r="M41" s="41"/>
      <c r="N41" s="41"/>
    </row>
    <row r="42" spans="2:14" x14ac:dyDescent="0.25">
      <c r="B42" s="155"/>
      <c r="C42" s="70"/>
      <c r="D42" s="70"/>
      <c r="E42" s="23"/>
      <c r="F42" s="23"/>
      <c r="G42" s="41"/>
      <c r="H42" s="18"/>
      <c r="I42" s="44"/>
      <c r="K42" s="41"/>
      <c r="L42" s="41"/>
      <c r="M42" s="41"/>
      <c r="N42" s="41"/>
    </row>
    <row r="43" spans="2:14" x14ac:dyDescent="0.25">
      <c r="B43" s="155"/>
      <c r="C43" s="70"/>
      <c r="D43" s="70"/>
      <c r="E43" s="23"/>
      <c r="F43" s="23"/>
      <c r="G43" s="41"/>
      <c r="H43" s="18"/>
      <c r="I43" s="44"/>
      <c r="K43" s="41"/>
      <c r="L43" s="41"/>
      <c r="M43" s="41"/>
      <c r="N43" s="41"/>
    </row>
    <row r="44" spans="2:14" x14ac:dyDescent="0.25">
      <c r="B44" s="155"/>
      <c r="C44" s="70"/>
      <c r="D44" s="70"/>
      <c r="E44" s="23"/>
      <c r="F44" s="23"/>
      <c r="G44" s="41"/>
      <c r="H44" s="18"/>
      <c r="I44" s="44"/>
      <c r="K44" s="41"/>
      <c r="L44" s="41"/>
      <c r="M44" s="41"/>
      <c r="N44" s="41"/>
    </row>
    <row r="45" spans="2:14" x14ac:dyDescent="0.25">
      <c r="B45" s="155"/>
      <c r="C45" s="70"/>
      <c r="D45" s="70"/>
      <c r="E45" s="23"/>
      <c r="F45" s="23"/>
      <c r="G45" s="41"/>
      <c r="H45" s="18"/>
      <c r="I45" s="44"/>
      <c r="K45" s="41"/>
      <c r="L45" s="41"/>
      <c r="M45" s="41"/>
      <c r="N45" s="41"/>
    </row>
    <row r="46" spans="2:14" x14ac:dyDescent="0.25">
      <c r="B46" s="155"/>
      <c r="C46" s="70"/>
      <c r="D46" s="70"/>
      <c r="E46" s="23"/>
      <c r="F46" s="23"/>
      <c r="G46" s="41"/>
      <c r="H46" s="18"/>
      <c r="I46" s="44"/>
      <c r="K46" s="41"/>
      <c r="L46" s="41"/>
      <c r="M46" s="41"/>
      <c r="N46" s="41"/>
    </row>
    <row r="47" spans="2:14" x14ac:dyDescent="0.25">
      <c r="B47" s="155"/>
      <c r="C47" s="70"/>
      <c r="D47" s="70"/>
      <c r="E47" s="23"/>
      <c r="F47" s="23"/>
      <c r="G47" s="41"/>
      <c r="H47" s="18"/>
      <c r="I47" s="44"/>
      <c r="K47" s="41"/>
      <c r="L47" s="41"/>
      <c r="M47" s="41"/>
      <c r="N47" s="41"/>
    </row>
    <row r="48" spans="2:14" x14ac:dyDescent="0.25">
      <c r="B48" s="155"/>
      <c r="C48" s="70"/>
      <c r="D48" s="70"/>
      <c r="E48" s="23"/>
      <c r="F48" s="23"/>
      <c r="G48" s="41"/>
      <c r="H48" s="18" t="str">
        <f>IF(E48="","",F48*G48)</f>
        <v/>
      </c>
      <c r="I48" s="44"/>
      <c r="K48" s="41"/>
      <c r="L48" s="41"/>
      <c r="M48" s="41"/>
      <c r="N48" s="41"/>
    </row>
    <row r="49" spans="2:14" s="31" customFormat="1" ht="19.5" customHeight="1" x14ac:dyDescent="0.25">
      <c r="B49" s="151" t="str">
        <f>$B$11</f>
        <v>C4.3</v>
      </c>
      <c r="C49" s="33" t="str">
        <f>"TOTAL CARRIED FORWARD"&amp;IF(H49=H$1," TO SUMMARY (Page C"&amp;Page_A&amp;")","")</f>
        <v>TOTAL CARRIED FORWARD TO SUMMARY (Page C57)</v>
      </c>
      <c r="D49" s="33"/>
      <c r="E49" s="34"/>
      <c r="F49" s="35"/>
      <c r="G49" s="34"/>
      <c r="H49" s="36">
        <f>SUM(H10:H48)</f>
        <v>0</v>
      </c>
      <c r="I49" s="37"/>
      <c r="K49" s="34"/>
      <c r="L49" s="36">
        <f>SUM(L10:L48)</f>
        <v>0</v>
      </c>
      <c r="M49" s="34"/>
      <c r="N49" s="34"/>
    </row>
  </sheetData>
  <mergeCells count="4">
    <mergeCell ref="F2:H2"/>
    <mergeCell ref="B6:G8"/>
    <mergeCell ref="H5:H8"/>
    <mergeCell ref="B5:G5"/>
  </mergeCells>
  <pageMargins left="0.62992125984251968" right="0.43307086614173229" top="0.62992125984251968" bottom="0.55118110236220474" header="0.51181102362204722" footer="0.31496062992125984"/>
  <pageSetup paperSize="9" scale="75"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57925-794C-4881-B386-825C41AC2B15}">
  <sheetPr codeName="Sheet72">
    <tabColor rgb="FF92D050"/>
  </sheetPr>
  <dimension ref="B1:N31"/>
  <sheetViews>
    <sheetView view="pageBreakPreview" zoomScaleNormal="125" zoomScaleSheetLayoutView="100" zoomScalePageLayoutView="125" workbookViewId="0">
      <pane xSplit="5" ySplit="2" topLeftCell="F3" activePane="bottomRight" state="frozen"/>
      <selection activeCell="D114" sqref="D114"/>
      <selection pane="topRight" activeCell="D114" sqref="D114"/>
      <selection pane="bottomLeft" activeCell="D114" sqref="D114"/>
      <selection pane="bottomRight" activeCell="G29" sqref="G29"/>
    </sheetView>
  </sheetViews>
  <sheetFormatPr defaultColWidth="8.6640625" defaultRowHeight="13.2" x14ac:dyDescent="0.25"/>
  <cols>
    <col min="1" max="1" width="0.6640625" style="1" customWidth="1"/>
    <col min="2" max="2" width="11.5546875" style="38" customWidth="1"/>
    <col min="3" max="3" width="45.5546875" style="3" customWidth="1"/>
    <col min="4" max="4" width="5.3320312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0" width="8.6640625" style="1"/>
    <col min="11" max="14" width="15.5546875" style="1" customWidth="1"/>
    <col min="15" max="16384" width="8.6640625" style="1"/>
  </cols>
  <sheetData>
    <row r="1" spans="2:14" x14ac:dyDescent="0.25">
      <c r="H1" s="234">
        <f>MAX(H9:H500)</f>
        <v>15000</v>
      </c>
    </row>
    <row r="2" spans="2:14" x14ac:dyDescent="0.25">
      <c r="B2" s="2" t="str">
        <f>Client1</f>
        <v>Province of KwaZulu-Natal</v>
      </c>
      <c r="F2" s="510" t="str">
        <f>"Contract No. "&amp;ContractNo</f>
        <v>Contract No. ZNB02215/00000/00/HOD/INF/23/T</v>
      </c>
      <c r="G2" s="510"/>
      <c r="H2" s="510"/>
      <c r="K2" s="402"/>
      <c r="L2" s="402">
        <f>MAX(L3:L245)</f>
        <v>600</v>
      </c>
      <c r="M2" s="402"/>
      <c r="N2" s="403"/>
    </row>
    <row r="3" spans="2:14" x14ac:dyDescent="0.25">
      <c r="B3" s="96" t="str">
        <f>Client2</f>
        <v>Department of Transport</v>
      </c>
      <c r="K3" s="1" t="s">
        <v>1421</v>
      </c>
      <c r="L3" s="1" t="s">
        <v>1422</v>
      </c>
      <c r="M3" s="1" t="s">
        <v>1423</v>
      </c>
      <c r="N3" s="1" t="s">
        <v>1424</v>
      </c>
    </row>
    <row r="4" spans="2:14" x14ac:dyDescent="0.25">
      <c r="B4" s="3"/>
    </row>
    <row r="5" spans="2:14" x14ac:dyDescent="0.25">
      <c r="B5" s="507" t="s">
        <v>8</v>
      </c>
      <c r="C5" s="508"/>
      <c r="D5" s="508"/>
      <c r="E5" s="508"/>
      <c r="F5" s="508"/>
      <c r="G5" s="508"/>
      <c r="H5" s="512" t="str">
        <f>"CHAPTER "&amp;B11</f>
        <v>CHAPTER C4.4</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13"/>
      <c r="I6" s="9"/>
    </row>
    <row r="7" spans="2:14" ht="12.75" customHeight="1" x14ac:dyDescent="0.25">
      <c r="B7" s="500"/>
      <c r="C7" s="501"/>
      <c r="D7" s="501"/>
      <c r="E7" s="501"/>
      <c r="F7" s="501"/>
      <c r="G7" s="501"/>
      <c r="H7" s="513"/>
      <c r="I7" s="9"/>
    </row>
    <row r="8" spans="2:14" s="10" customFormat="1" ht="7.5" customHeight="1" x14ac:dyDescent="0.25">
      <c r="B8" s="502"/>
      <c r="C8" s="503"/>
      <c r="D8" s="503"/>
      <c r="E8" s="503"/>
      <c r="F8" s="503"/>
      <c r="G8" s="503"/>
      <c r="H8" s="514"/>
      <c r="I8" s="13"/>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93"/>
      <c r="C10" s="7"/>
      <c r="D10" s="104"/>
      <c r="E10" s="88"/>
      <c r="F10" s="16"/>
      <c r="G10" s="17"/>
      <c r="H10" s="18" t="str">
        <f>IF(E10="","",F10*G10)</f>
        <v/>
      </c>
      <c r="I10" s="19"/>
      <c r="K10" s="17"/>
      <c r="L10" s="17"/>
      <c r="M10" s="17"/>
      <c r="N10" s="17"/>
    </row>
    <row r="11" spans="2:14" x14ac:dyDescent="0.25">
      <c r="B11" s="80" t="s">
        <v>673</v>
      </c>
      <c r="C11" s="7" t="s">
        <v>672</v>
      </c>
      <c r="D11" s="21"/>
      <c r="E11" s="16"/>
      <c r="F11" s="16"/>
      <c r="G11" s="17"/>
      <c r="H11" s="18" t="str">
        <f>IF(E11="","",F11*G11)</f>
        <v/>
      </c>
      <c r="I11" s="19"/>
      <c r="K11" s="17"/>
      <c r="L11" s="17"/>
      <c r="M11" s="17"/>
      <c r="N11" s="17"/>
    </row>
    <row r="12" spans="2:14" x14ac:dyDescent="0.25">
      <c r="B12" s="155"/>
      <c r="C12" s="39"/>
      <c r="D12" s="70"/>
      <c r="E12" s="23"/>
      <c r="F12" s="23"/>
      <c r="G12" s="41"/>
      <c r="H12" s="18" t="str">
        <f t="shared" ref="H12:H25" si="0">IF(E12="","",F12*G12)</f>
        <v/>
      </c>
      <c r="I12" s="44"/>
      <c r="K12" s="41"/>
      <c r="L12" s="41"/>
      <c r="M12" s="41"/>
      <c r="N12" s="41"/>
    </row>
    <row r="13" spans="2:14" ht="39.6" x14ac:dyDescent="0.25">
      <c r="B13" s="155" t="s">
        <v>671</v>
      </c>
      <c r="C13" s="62" t="s">
        <v>670</v>
      </c>
      <c r="D13" s="17"/>
      <c r="E13" s="23"/>
      <c r="F13" s="23"/>
      <c r="G13" s="41"/>
      <c r="H13" s="18" t="str">
        <f t="shared" si="0"/>
        <v/>
      </c>
      <c r="I13" s="44"/>
      <c r="K13" s="41"/>
      <c r="L13" s="48" t="str">
        <f t="shared" ref="L13:L28" si="1">IF(K13="","",K13*F13)</f>
        <v/>
      </c>
      <c r="M13" s="41"/>
      <c r="N13" s="41"/>
    </row>
    <row r="14" spans="2:14" x14ac:dyDescent="0.25">
      <c r="B14" s="154"/>
      <c r="C14" s="39"/>
      <c r="D14" s="70"/>
      <c r="E14" s="23"/>
      <c r="F14" s="23"/>
      <c r="G14" s="41"/>
      <c r="H14" s="18" t="str">
        <f t="shared" si="0"/>
        <v/>
      </c>
      <c r="I14" s="44"/>
      <c r="K14" s="41"/>
      <c r="L14" s="48" t="str">
        <f t="shared" si="1"/>
        <v/>
      </c>
      <c r="M14" s="41"/>
      <c r="N14" s="41"/>
    </row>
    <row r="15" spans="2:14" x14ac:dyDescent="0.25">
      <c r="B15" s="155" t="s">
        <v>669</v>
      </c>
      <c r="C15" s="39" t="s">
        <v>668</v>
      </c>
      <c r="D15" s="70"/>
      <c r="E15" s="23"/>
      <c r="F15" s="23"/>
      <c r="G15" s="41"/>
      <c r="H15" s="18" t="str">
        <f t="shared" si="0"/>
        <v/>
      </c>
      <c r="I15" s="44"/>
      <c r="K15" s="41"/>
      <c r="L15" s="48" t="str">
        <f t="shared" si="1"/>
        <v/>
      </c>
      <c r="M15" s="41"/>
      <c r="N15" s="41"/>
    </row>
    <row r="16" spans="2:14" x14ac:dyDescent="0.25">
      <c r="B16" s="155"/>
      <c r="C16" s="39"/>
      <c r="D16" s="70"/>
      <c r="E16" s="23"/>
      <c r="F16" s="23"/>
      <c r="G16" s="41"/>
      <c r="H16" s="18"/>
      <c r="I16" s="44"/>
      <c r="K16" s="41"/>
      <c r="L16" s="48" t="str">
        <f t="shared" si="1"/>
        <v/>
      </c>
      <c r="M16" s="41"/>
      <c r="N16" s="41"/>
    </row>
    <row r="17" spans="2:14" ht="15.6" x14ac:dyDescent="0.25">
      <c r="B17" s="155" t="s">
        <v>51</v>
      </c>
      <c r="C17" s="39" t="s">
        <v>976</v>
      </c>
      <c r="D17" s="70"/>
      <c r="E17" s="23" t="s">
        <v>34</v>
      </c>
      <c r="F17" s="40">
        <v>10300</v>
      </c>
      <c r="G17" s="41"/>
      <c r="H17" s="18">
        <f t="shared" si="0"/>
        <v>0</v>
      </c>
      <c r="I17" s="44"/>
      <c r="K17" s="41">
        <f>G17*4%</f>
        <v>0</v>
      </c>
      <c r="L17" s="48">
        <f t="shared" si="1"/>
        <v>0</v>
      </c>
      <c r="M17" s="41"/>
      <c r="N17" s="41"/>
    </row>
    <row r="18" spans="2:14" x14ac:dyDescent="0.25">
      <c r="B18" s="155"/>
      <c r="D18" s="55"/>
      <c r="E18" s="23"/>
      <c r="F18" s="40"/>
      <c r="G18" s="41"/>
      <c r="H18" s="18" t="str">
        <f t="shared" si="0"/>
        <v/>
      </c>
      <c r="I18" s="52"/>
      <c r="K18" s="41"/>
      <c r="L18" s="48" t="str">
        <f t="shared" si="1"/>
        <v/>
      </c>
      <c r="M18" s="41"/>
      <c r="N18" s="41"/>
    </row>
    <row r="19" spans="2:14" ht="15.6" x14ac:dyDescent="0.25">
      <c r="B19" s="155" t="s">
        <v>62</v>
      </c>
      <c r="C19" s="39" t="s">
        <v>977</v>
      </c>
      <c r="D19" s="70"/>
      <c r="E19" s="23" t="s">
        <v>34</v>
      </c>
      <c r="F19" s="40">
        <f>7769+14212</f>
        <v>21981</v>
      </c>
      <c r="G19" s="41"/>
      <c r="H19" s="18">
        <f t="shared" si="0"/>
        <v>0</v>
      </c>
      <c r="I19" s="52"/>
      <c r="K19" s="41">
        <f>G19*4%</f>
        <v>0</v>
      </c>
      <c r="L19" s="48">
        <f t="shared" si="1"/>
        <v>0</v>
      </c>
      <c r="M19" s="41"/>
      <c r="N19" s="41"/>
    </row>
    <row r="20" spans="2:14" x14ac:dyDescent="0.25">
      <c r="B20" s="155"/>
      <c r="D20" s="55"/>
      <c r="E20" s="23"/>
      <c r="F20" s="40"/>
      <c r="G20" s="41"/>
      <c r="H20" s="18" t="str">
        <f t="shared" si="0"/>
        <v/>
      </c>
      <c r="I20" s="52"/>
      <c r="K20" s="41"/>
      <c r="L20" s="48" t="str">
        <f t="shared" si="1"/>
        <v/>
      </c>
      <c r="M20" s="41"/>
      <c r="N20" s="41"/>
    </row>
    <row r="21" spans="2:14" x14ac:dyDescent="0.25">
      <c r="B21" s="155" t="s">
        <v>667</v>
      </c>
      <c r="C21" s="39" t="s">
        <v>666</v>
      </c>
      <c r="D21" s="70"/>
      <c r="E21" s="23"/>
      <c r="F21" s="23"/>
      <c r="G21" s="41"/>
      <c r="H21" s="18" t="str">
        <f t="shared" si="0"/>
        <v/>
      </c>
      <c r="I21" s="44"/>
      <c r="K21" s="41"/>
      <c r="L21" s="48" t="str">
        <f t="shared" si="1"/>
        <v/>
      </c>
      <c r="M21" s="41"/>
      <c r="N21" s="41"/>
    </row>
    <row r="22" spans="2:14" x14ac:dyDescent="0.25">
      <c r="B22" s="154"/>
      <c r="C22" s="57"/>
      <c r="D22" s="15"/>
      <c r="E22" s="23"/>
      <c r="F22" s="23"/>
      <c r="G22" s="41"/>
      <c r="H22" s="18" t="str">
        <f t="shared" si="0"/>
        <v/>
      </c>
      <c r="I22" s="44"/>
      <c r="K22" s="41"/>
      <c r="L22" s="48" t="str">
        <f t="shared" si="1"/>
        <v/>
      </c>
      <c r="M22" s="41"/>
      <c r="N22" s="41"/>
    </row>
    <row r="23" spans="2:14" x14ac:dyDescent="0.25">
      <c r="B23" s="155" t="s">
        <v>665</v>
      </c>
      <c r="C23" s="39" t="s">
        <v>356</v>
      </c>
      <c r="D23" s="70"/>
      <c r="E23" s="23" t="s">
        <v>7</v>
      </c>
      <c r="F23" s="23">
        <v>959</v>
      </c>
      <c r="G23" s="41"/>
      <c r="H23" s="18">
        <f t="shared" si="0"/>
        <v>0</v>
      </c>
      <c r="I23" s="44"/>
      <c r="K23" s="41"/>
      <c r="L23" s="48" t="str">
        <f t="shared" si="1"/>
        <v/>
      </c>
      <c r="M23" s="41"/>
      <c r="N23" s="41"/>
    </row>
    <row r="24" spans="2:14" x14ac:dyDescent="0.25">
      <c r="B24" s="155"/>
      <c r="C24" s="39"/>
      <c r="D24" s="70"/>
      <c r="E24" s="23"/>
      <c r="F24" s="23"/>
      <c r="G24" s="41"/>
      <c r="H24" s="18" t="str">
        <f t="shared" si="0"/>
        <v/>
      </c>
      <c r="I24" s="44"/>
      <c r="K24" s="41"/>
      <c r="L24" s="48" t="str">
        <f t="shared" si="1"/>
        <v/>
      </c>
      <c r="M24" s="41"/>
      <c r="N24" s="41"/>
    </row>
    <row r="25" spans="2:14" ht="26.4" x14ac:dyDescent="0.25">
      <c r="B25" s="155" t="s">
        <v>664</v>
      </c>
      <c r="C25" s="58" t="s">
        <v>663</v>
      </c>
      <c r="D25" s="14"/>
      <c r="E25" s="40"/>
      <c r="F25" s="23"/>
      <c r="G25" s="41"/>
      <c r="H25" s="18" t="str">
        <f t="shared" si="0"/>
        <v/>
      </c>
      <c r="I25" s="44"/>
      <c r="K25" s="41"/>
      <c r="L25" s="48" t="str">
        <f t="shared" si="1"/>
        <v/>
      </c>
      <c r="M25" s="41"/>
      <c r="N25" s="41"/>
    </row>
    <row r="26" spans="2:14" x14ac:dyDescent="0.25">
      <c r="B26" s="154"/>
      <c r="D26" s="55"/>
      <c r="E26" s="23"/>
      <c r="F26" s="23"/>
      <c r="G26" s="41"/>
      <c r="H26" s="18"/>
      <c r="I26" s="44"/>
      <c r="K26" s="41"/>
      <c r="L26" s="48" t="str">
        <f t="shared" si="1"/>
        <v/>
      </c>
      <c r="M26" s="41"/>
      <c r="N26" s="41"/>
    </row>
    <row r="27" spans="2:14" x14ac:dyDescent="0.25">
      <c r="B27" s="155" t="s">
        <v>662</v>
      </c>
      <c r="C27" s="38" t="s">
        <v>661</v>
      </c>
      <c r="D27" s="486"/>
      <c r="E27" s="69" t="s">
        <v>648</v>
      </c>
      <c r="F27" s="23">
        <v>15000</v>
      </c>
      <c r="G27" s="41">
        <v>1</v>
      </c>
      <c r="H27" s="18">
        <f>IF(E27="","",F27*G27)</f>
        <v>15000</v>
      </c>
      <c r="I27" s="44"/>
      <c r="K27" s="41">
        <f>F27*4%</f>
        <v>600</v>
      </c>
      <c r="L27" s="48">
        <f>IF(K27="","",K27*G27)</f>
        <v>600</v>
      </c>
      <c r="M27" s="41"/>
      <c r="N27" s="41"/>
    </row>
    <row r="28" spans="2:14" x14ac:dyDescent="0.25">
      <c r="B28" s="154"/>
      <c r="D28" s="55"/>
      <c r="E28" s="23"/>
      <c r="F28" s="23"/>
      <c r="G28" s="41"/>
      <c r="H28" s="18" t="str">
        <f>IF(E28="","",F28*G28)</f>
        <v/>
      </c>
      <c r="I28" s="44"/>
      <c r="K28" s="41"/>
      <c r="L28" s="48" t="str">
        <f t="shared" si="1"/>
        <v/>
      </c>
      <c r="M28" s="41"/>
      <c r="N28" s="41"/>
    </row>
    <row r="29" spans="2:14" x14ac:dyDescent="0.25">
      <c r="B29" s="154" t="s">
        <v>660</v>
      </c>
      <c r="C29" s="39" t="s">
        <v>659</v>
      </c>
      <c r="D29" s="70"/>
      <c r="E29" s="95" t="s">
        <v>36</v>
      </c>
      <c r="F29" s="198">
        <f>H27</f>
        <v>15000</v>
      </c>
      <c r="G29" s="398"/>
      <c r="H29" s="18">
        <f>IF(E29="","",F29*G29)</f>
        <v>0</v>
      </c>
      <c r="I29" s="44"/>
      <c r="K29" s="398"/>
      <c r="L29" s="398"/>
      <c r="M29" s="398"/>
      <c r="N29" s="398"/>
    </row>
    <row r="30" spans="2:14" x14ac:dyDescent="0.25">
      <c r="B30" s="154"/>
      <c r="D30" s="485"/>
      <c r="E30" s="23"/>
      <c r="F30" s="23"/>
      <c r="G30" s="41"/>
      <c r="H30" s="18"/>
      <c r="I30" s="44"/>
      <c r="K30" s="41"/>
      <c r="L30" s="41"/>
      <c r="M30" s="41"/>
      <c r="N30" s="41"/>
    </row>
    <row r="31" spans="2:14" s="31" customFormat="1" ht="19.5" customHeight="1" x14ac:dyDescent="0.25">
      <c r="B31" s="151" t="str">
        <f>$B$11</f>
        <v>C4.4</v>
      </c>
      <c r="C31" s="33" t="str">
        <f>"TOTAL CARRIED FORWARD"&amp;IF(H31=H$1," TO SUMMARY (Page C"&amp;Page_A&amp;")","")</f>
        <v>TOTAL CARRIED FORWARD TO SUMMARY (Page C57)</v>
      </c>
      <c r="D31" s="33"/>
      <c r="E31" s="34"/>
      <c r="F31" s="35"/>
      <c r="G31" s="34"/>
      <c r="H31" s="36">
        <f>SUM(H12:H29)</f>
        <v>15000</v>
      </c>
      <c r="I31" s="37"/>
      <c r="K31" s="34"/>
      <c r="L31" s="36">
        <f>SUM(L12:L29)</f>
        <v>600</v>
      </c>
      <c r="M31" s="34"/>
      <c r="N31" s="34"/>
    </row>
  </sheetData>
  <mergeCells count="4">
    <mergeCell ref="F2:H2"/>
    <mergeCell ref="H5:H8"/>
    <mergeCell ref="B5:G5"/>
    <mergeCell ref="B6:G8"/>
  </mergeCells>
  <pageMargins left="0.62992125984251968" right="0.43307086614173229" top="0.62992125984251968" bottom="0.55118110236220474" header="0.51181102362204722" footer="0.31496062992125984"/>
  <pageSetup paperSize="9" scale="75"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7209-C79B-46E4-B449-19ACD8AA9C1D}">
  <sheetPr codeName="Sheet11">
    <tabColor rgb="FF92D050"/>
  </sheetPr>
  <dimension ref="B1:N38"/>
  <sheetViews>
    <sheetView view="pageBreakPreview" zoomScaleNormal="125" zoomScaleSheetLayoutView="100" zoomScalePageLayoutView="125" workbookViewId="0">
      <selection activeCell="G28" sqref="G28"/>
    </sheetView>
  </sheetViews>
  <sheetFormatPr defaultColWidth="6.6640625" defaultRowHeight="13.2" x14ac:dyDescent="0.25"/>
  <cols>
    <col min="1" max="1" width="0.6640625" style="56" customWidth="1"/>
    <col min="2" max="2" width="11.5546875" style="58" customWidth="1"/>
    <col min="3" max="3" width="45.5546875" style="57" customWidth="1"/>
    <col min="4" max="4" width="4.6640625" style="57" customWidth="1"/>
    <col min="5" max="5" width="13.5546875" style="59" customWidth="1"/>
    <col min="6" max="6" width="15.5546875" style="59" customWidth="1"/>
    <col min="7" max="7" width="15.5546875" style="56" customWidth="1"/>
    <col min="8" max="8" width="15.5546875" style="60" customWidth="1"/>
    <col min="9" max="9" width="0.6640625" style="60" customWidth="1"/>
    <col min="10" max="10" width="6.6640625" style="56"/>
    <col min="11" max="14" width="15.5546875" style="56" customWidth="1"/>
    <col min="15" max="16384" width="6.6640625" style="56"/>
  </cols>
  <sheetData>
    <row r="1" spans="2:14" x14ac:dyDescent="0.25">
      <c r="H1" s="234">
        <f>MAX(H9:H500)</f>
        <v>0</v>
      </c>
    </row>
    <row r="2" spans="2:14" x14ac:dyDescent="0.25">
      <c r="B2" s="501" t="str">
        <f>Client1</f>
        <v>Province of KwaZulu-Natal</v>
      </c>
      <c r="C2" s="501"/>
      <c r="D2" s="7"/>
      <c r="F2" s="517" t="str">
        <f>"Contract No. "&amp;ContractNo</f>
        <v>Contract No. ZNB02215/00000/00/HOD/INF/23/T</v>
      </c>
      <c r="G2" s="517"/>
      <c r="H2" s="517"/>
      <c r="K2" s="402"/>
      <c r="L2" s="402">
        <f>MAX(L3:L245)</f>
        <v>0</v>
      </c>
      <c r="M2" s="402"/>
      <c r="N2" s="403"/>
    </row>
    <row r="3" spans="2:14" x14ac:dyDescent="0.25">
      <c r="B3" s="518" t="str">
        <f>Client2</f>
        <v>Department of Transport</v>
      </c>
      <c r="C3" s="518"/>
      <c r="D3" s="480"/>
      <c r="K3" s="56" t="s">
        <v>1421</v>
      </c>
      <c r="L3" s="56" t="s">
        <v>1422</v>
      </c>
      <c r="M3" s="56" t="s">
        <v>1423</v>
      </c>
      <c r="N3" s="56" t="s">
        <v>1424</v>
      </c>
    </row>
    <row r="4" spans="2:14" x14ac:dyDescent="0.25">
      <c r="B4" s="99"/>
      <c r="C4" s="99"/>
      <c r="D4" s="99"/>
      <c r="E4" s="100"/>
      <c r="F4" s="100"/>
      <c r="G4" s="101"/>
      <c r="H4" s="102"/>
      <c r="K4" s="101"/>
      <c r="L4" s="101"/>
      <c r="M4" s="101"/>
      <c r="N4" s="101"/>
    </row>
    <row r="5" spans="2:14" ht="12.75" customHeight="1" x14ac:dyDescent="0.25">
      <c r="B5" s="515" t="s">
        <v>8</v>
      </c>
      <c r="C5" s="516"/>
      <c r="D5" s="516"/>
      <c r="E5" s="516"/>
      <c r="F5" s="516"/>
      <c r="G5" s="516"/>
      <c r="H5" s="504" t="str">
        <f>"CHAPTER "&amp;B11</f>
        <v>CHAPTER C5.1</v>
      </c>
      <c r="I5" s="61"/>
    </row>
    <row r="6" spans="2:14" ht="7.5" customHeight="1" x14ac:dyDescent="0.25">
      <c r="B6" s="500" t="str">
        <f>ContractDescription</f>
        <v>UPGRADING OF MAIN ROAD P8/3 FROM GRAVEL TO BLACKTOP BETWEEN KM 17.560 AND KM 24.221 IN THE PIETERMARITZBURG REGION</v>
      </c>
      <c r="C6" s="501"/>
      <c r="D6" s="501"/>
      <c r="E6" s="501"/>
      <c r="F6" s="501"/>
      <c r="G6" s="501"/>
      <c r="H6" s="505"/>
      <c r="I6" s="9"/>
    </row>
    <row r="7" spans="2:14" ht="12.75" customHeight="1" x14ac:dyDescent="0.25">
      <c r="B7" s="500"/>
      <c r="C7" s="501"/>
      <c r="D7" s="501"/>
      <c r="E7" s="501"/>
      <c r="F7" s="501"/>
      <c r="G7" s="501"/>
      <c r="H7" s="505"/>
      <c r="I7" s="9"/>
    </row>
    <row r="8" spans="2:14" ht="7.5" customHeight="1" x14ac:dyDescent="0.25">
      <c r="B8" s="502"/>
      <c r="C8" s="503"/>
      <c r="D8" s="503"/>
      <c r="E8" s="503"/>
      <c r="F8" s="503"/>
      <c r="G8" s="503"/>
      <c r="H8" s="506"/>
      <c r="I8" s="9"/>
    </row>
    <row r="9" spans="2:14" s="13" customFormat="1" ht="25.2" customHeight="1" x14ac:dyDescent="0.25">
      <c r="B9" s="11" t="s">
        <v>0</v>
      </c>
      <c r="C9" s="12" t="s">
        <v>1</v>
      </c>
      <c r="D9" s="12" t="s">
        <v>1602</v>
      </c>
      <c r="E9" s="12" t="s">
        <v>2</v>
      </c>
      <c r="F9" s="12" t="s">
        <v>3</v>
      </c>
      <c r="G9" s="12" t="s">
        <v>4</v>
      </c>
      <c r="H9" s="12" t="s">
        <v>5</v>
      </c>
      <c r="K9" s="12"/>
      <c r="L9" s="12"/>
      <c r="M9" s="12"/>
      <c r="N9" s="12"/>
    </row>
    <row r="10" spans="2:14" x14ac:dyDescent="0.25">
      <c r="B10" s="53"/>
      <c r="C10" s="15"/>
      <c r="D10" s="15"/>
      <c r="E10" s="16"/>
      <c r="F10" s="16"/>
      <c r="G10" s="17"/>
      <c r="H10" s="26" t="str">
        <f t="shared" ref="H10:H16" si="0">IF(E10="","",F10*G10)</f>
        <v/>
      </c>
      <c r="I10" s="19"/>
      <c r="K10" s="17"/>
      <c r="L10" s="17"/>
      <c r="M10" s="17"/>
      <c r="N10" s="17"/>
    </row>
    <row r="11" spans="2:14" x14ac:dyDescent="0.25">
      <c r="B11" s="80" t="s">
        <v>306</v>
      </c>
      <c r="C11" s="21" t="s">
        <v>307</v>
      </c>
      <c r="D11" s="21"/>
      <c r="E11" s="23"/>
      <c r="F11" s="23"/>
      <c r="G11" s="43"/>
      <c r="H11" s="26" t="str">
        <f t="shared" si="0"/>
        <v/>
      </c>
      <c r="I11" s="44"/>
      <c r="K11" s="43"/>
      <c r="L11" s="43"/>
      <c r="M11" s="43"/>
      <c r="N11" s="43"/>
    </row>
    <row r="12" spans="2:14" x14ac:dyDescent="0.25">
      <c r="B12" s="53"/>
      <c r="C12" s="15"/>
      <c r="D12" s="15"/>
      <c r="E12" s="23"/>
      <c r="F12" s="23"/>
      <c r="G12" s="43"/>
      <c r="H12" s="26" t="str">
        <f t="shared" si="0"/>
        <v/>
      </c>
      <c r="I12" s="44"/>
      <c r="K12" s="43"/>
      <c r="L12" s="43"/>
      <c r="M12" s="43"/>
      <c r="N12" s="43"/>
    </row>
    <row r="13" spans="2:14" x14ac:dyDescent="0.25">
      <c r="B13" s="80" t="s">
        <v>309</v>
      </c>
      <c r="C13" s="21" t="s">
        <v>308</v>
      </c>
      <c r="D13" s="21"/>
      <c r="E13" s="23"/>
      <c r="F13" s="23"/>
      <c r="G13" s="43"/>
      <c r="H13" s="26" t="str">
        <f t="shared" si="0"/>
        <v/>
      </c>
      <c r="I13" s="44"/>
      <c r="K13" s="43"/>
      <c r="L13" s="43"/>
      <c r="M13" s="43"/>
      <c r="N13" s="43"/>
    </row>
    <row r="14" spans="2:14" x14ac:dyDescent="0.25">
      <c r="B14" s="53"/>
      <c r="C14" s="15"/>
      <c r="D14" s="15"/>
      <c r="E14" s="23"/>
      <c r="F14" s="24"/>
      <c r="G14" s="25"/>
      <c r="H14" s="26" t="str">
        <f t="shared" si="0"/>
        <v/>
      </c>
      <c r="I14" s="45"/>
      <c r="K14" s="25"/>
      <c r="L14" s="48" t="str">
        <f t="shared" ref="L14:L32" si="1">IF(K14="","",K14*F14)</f>
        <v/>
      </c>
      <c r="M14" s="25"/>
      <c r="N14" s="25"/>
    </row>
    <row r="15" spans="2:14" ht="15.6" x14ac:dyDescent="0.25">
      <c r="B15" s="53" t="s">
        <v>310</v>
      </c>
      <c r="C15" s="15" t="s">
        <v>311</v>
      </c>
      <c r="D15" s="69" t="s">
        <v>1602</v>
      </c>
      <c r="E15" s="23" t="s">
        <v>34</v>
      </c>
      <c r="F15" s="24">
        <f>10455*0.3</f>
        <v>3136.5</v>
      </c>
      <c r="G15" s="25"/>
      <c r="H15" s="26">
        <f t="shared" si="0"/>
        <v>0</v>
      </c>
      <c r="I15" s="45"/>
      <c r="J15" s="1"/>
      <c r="K15" s="25">
        <f>G15*3%</f>
        <v>0</v>
      </c>
      <c r="L15" s="48">
        <f t="shared" si="1"/>
        <v>0</v>
      </c>
      <c r="M15" s="25"/>
      <c r="N15" s="25"/>
    </row>
    <row r="16" spans="2:14" x14ac:dyDescent="0.25">
      <c r="B16" s="53"/>
      <c r="C16" s="15"/>
      <c r="D16" s="15"/>
      <c r="E16" s="23"/>
      <c r="F16" s="24"/>
      <c r="G16" s="43"/>
      <c r="H16" s="26" t="str">
        <f t="shared" si="0"/>
        <v/>
      </c>
      <c r="I16" s="47"/>
      <c r="J16" s="1"/>
      <c r="K16" s="43"/>
      <c r="L16" s="48" t="str">
        <f t="shared" si="1"/>
        <v/>
      </c>
      <c r="M16" s="43"/>
      <c r="N16" s="43"/>
    </row>
    <row r="17" spans="2:14" ht="26.4" x14ac:dyDescent="0.25">
      <c r="B17" s="53" t="s">
        <v>316</v>
      </c>
      <c r="C17" s="15" t="s">
        <v>317</v>
      </c>
      <c r="D17" s="15"/>
      <c r="E17" s="23"/>
      <c r="F17" s="24"/>
      <c r="G17" s="41"/>
      <c r="H17" s="26" t="str">
        <f t="shared" ref="H17:H34" si="2">IF(E17="","",F17*G17)</f>
        <v/>
      </c>
      <c r="I17" s="45"/>
      <c r="J17" s="1"/>
      <c r="K17" s="41"/>
      <c r="L17" s="48" t="str">
        <f t="shared" si="1"/>
        <v/>
      </c>
      <c r="M17" s="41"/>
      <c r="N17" s="41"/>
    </row>
    <row r="18" spans="2:14" x14ac:dyDescent="0.25">
      <c r="B18" s="53"/>
      <c r="C18" s="15"/>
      <c r="D18" s="15"/>
      <c r="E18" s="23"/>
      <c r="F18" s="24"/>
      <c r="G18" s="41"/>
      <c r="H18" s="26" t="str">
        <f t="shared" si="2"/>
        <v/>
      </c>
      <c r="I18" s="45"/>
      <c r="J18" s="1"/>
      <c r="K18" s="41"/>
      <c r="L18" s="48" t="str">
        <f t="shared" si="1"/>
        <v/>
      </c>
      <c r="M18" s="41"/>
      <c r="N18" s="41"/>
    </row>
    <row r="19" spans="2:14" ht="26.4" x14ac:dyDescent="0.25">
      <c r="B19" s="53" t="s">
        <v>318</v>
      </c>
      <c r="C19" s="15" t="s">
        <v>312</v>
      </c>
      <c r="D19" s="15"/>
      <c r="E19" s="23"/>
      <c r="F19" s="24"/>
      <c r="G19" s="41"/>
      <c r="H19" s="26" t="str">
        <f t="shared" si="2"/>
        <v/>
      </c>
      <c r="I19" s="45"/>
      <c r="J19" s="1"/>
      <c r="K19" s="41"/>
      <c r="L19" s="48" t="str">
        <f t="shared" si="1"/>
        <v/>
      </c>
      <c r="M19" s="41"/>
      <c r="N19" s="41"/>
    </row>
    <row r="20" spans="2:14" x14ac:dyDescent="0.25">
      <c r="B20" s="53"/>
      <c r="C20" s="15"/>
      <c r="D20" s="15"/>
      <c r="E20" s="23"/>
      <c r="F20" s="24"/>
      <c r="G20" s="41"/>
      <c r="H20" s="26" t="str">
        <f t="shared" si="2"/>
        <v/>
      </c>
      <c r="I20" s="45"/>
      <c r="J20" s="1"/>
      <c r="K20" s="41"/>
      <c r="L20" s="48" t="str">
        <f t="shared" si="1"/>
        <v/>
      </c>
      <c r="M20" s="41"/>
      <c r="N20" s="41"/>
    </row>
    <row r="21" spans="2:14" ht="15.6" x14ac:dyDescent="0.25">
      <c r="B21" s="53" t="s">
        <v>49</v>
      </c>
      <c r="C21" s="15" t="s">
        <v>313</v>
      </c>
      <c r="D21" s="15"/>
      <c r="E21" s="23" t="s">
        <v>34</v>
      </c>
      <c r="F21" s="24">
        <v>100</v>
      </c>
      <c r="G21" s="25"/>
      <c r="H21" s="26">
        <f t="shared" si="2"/>
        <v>0</v>
      </c>
      <c r="I21" s="44"/>
      <c r="J21" s="1"/>
      <c r="K21" s="25">
        <f>G21*3%</f>
        <v>0</v>
      </c>
      <c r="L21" s="48">
        <f t="shared" si="1"/>
        <v>0</v>
      </c>
      <c r="M21" s="25"/>
      <c r="N21" s="25"/>
    </row>
    <row r="22" spans="2:14" x14ac:dyDescent="0.25">
      <c r="B22" s="53"/>
      <c r="C22" s="15"/>
      <c r="D22" s="15"/>
      <c r="E22" s="23"/>
      <c r="F22" s="24"/>
      <c r="G22" s="25"/>
      <c r="H22" s="26" t="str">
        <f t="shared" si="2"/>
        <v/>
      </c>
      <c r="I22" s="44"/>
      <c r="J22" s="1"/>
      <c r="K22" s="25"/>
      <c r="L22" s="48" t="str">
        <f t="shared" si="1"/>
        <v/>
      </c>
      <c r="M22" s="25"/>
      <c r="N22" s="25"/>
    </row>
    <row r="23" spans="2:14" ht="15.6" x14ac:dyDescent="0.25">
      <c r="B23" s="53" t="s">
        <v>51</v>
      </c>
      <c r="C23" s="15" t="s">
        <v>314</v>
      </c>
      <c r="D23" s="15"/>
      <c r="E23" s="23" t="s">
        <v>34</v>
      </c>
      <c r="F23" s="24">
        <v>100</v>
      </c>
      <c r="G23" s="25"/>
      <c r="H23" s="26">
        <f t="shared" si="2"/>
        <v>0</v>
      </c>
      <c r="I23" s="44"/>
      <c r="J23" s="1"/>
      <c r="K23" s="25">
        <f>K21</f>
        <v>0</v>
      </c>
      <c r="L23" s="48">
        <f t="shared" si="1"/>
        <v>0</v>
      </c>
      <c r="M23" s="25"/>
      <c r="N23" s="25"/>
    </row>
    <row r="24" spans="2:14" x14ac:dyDescent="0.25">
      <c r="B24" s="53"/>
      <c r="C24" s="29"/>
      <c r="D24" s="147"/>
      <c r="E24" s="23"/>
      <c r="F24" s="24"/>
      <c r="G24" s="25"/>
      <c r="H24" s="26" t="str">
        <f t="shared" si="2"/>
        <v/>
      </c>
      <c r="I24" s="44"/>
      <c r="J24" s="1"/>
      <c r="K24" s="25"/>
      <c r="L24" s="48" t="str">
        <f t="shared" si="1"/>
        <v/>
      </c>
      <c r="M24" s="25"/>
      <c r="N24" s="25"/>
    </row>
    <row r="25" spans="2:14" ht="15.6" x14ac:dyDescent="0.25">
      <c r="B25" s="53" t="s">
        <v>53</v>
      </c>
      <c r="C25" s="29" t="s">
        <v>315</v>
      </c>
      <c r="D25" s="147"/>
      <c r="E25" s="23" t="s">
        <v>34</v>
      </c>
      <c r="F25" s="24">
        <v>100</v>
      </c>
      <c r="G25" s="25"/>
      <c r="H25" s="26">
        <f t="shared" si="2"/>
        <v>0</v>
      </c>
      <c r="I25" s="44"/>
      <c r="J25" s="1"/>
      <c r="K25" s="25">
        <f>K21</f>
        <v>0</v>
      </c>
      <c r="L25" s="48">
        <f t="shared" si="1"/>
        <v>0</v>
      </c>
      <c r="M25" s="25"/>
      <c r="N25" s="25"/>
    </row>
    <row r="26" spans="2:14" x14ac:dyDescent="0.25">
      <c r="B26" s="53"/>
      <c r="C26" s="29"/>
      <c r="D26" s="147"/>
      <c r="E26" s="23"/>
      <c r="F26" s="24"/>
      <c r="G26" s="25"/>
      <c r="H26" s="26"/>
      <c r="I26" s="44"/>
      <c r="K26" s="25"/>
      <c r="L26" s="48" t="str">
        <f t="shared" si="1"/>
        <v/>
      </c>
      <c r="M26" s="25"/>
      <c r="N26" s="25"/>
    </row>
    <row r="27" spans="2:14" x14ac:dyDescent="0.25">
      <c r="B27" s="53"/>
      <c r="C27" s="15"/>
      <c r="D27" s="15"/>
      <c r="E27" s="23"/>
      <c r="F27" s="23"/>
      <c r="G27" s="25"/>
      <c r="H27" s="26"/>
      <c r="I27" s="44"/>
      <c r="K27" s="25"/>
      <c r="L27" s="48" t="str">
        <f t="shared" si="1"/>
        <v/>
      </c>
      <c r="M27" s="25"/>
      <c r="N27" s="25"/>
    </row>
    <row r="28" spans="2:14" x14ac:dyDescent="0.25">
      <c r="B28" s="53"/>
      <c r="C28" s="15"/>
      <c r="D28" s="15"/>
      <c r="E28" s="23"/>
      <c r="F28" s="23"/>
      <c r="G28" s="25"/>
      <c r="H28" s="26"/>
      <c r="I28" s="44"/>
      <c r="K28" s="25"/>
      <c r="L28" s="48" t="str">
        <f t="shared" si="1"/>
        <v/>
      </c>
      <c r="M28" s="25"/>
      <c r="N28" s="25"/>
    </row>
    <row r="29" spans="2:14" x14ac:dyDescent="0.25">
      <c r="B29" s="53"/>
      <c r="C29" s="15"/>
      <c r="D29" s="15"/>
      <c r="E29" s="23"/>
      <c r="F29" s="23"/>
      <c r="G29" s="25"/>
      <c r="H29" s="26"/>
      <c r="I29" s="44"/>
      <c r="K29" s="25"/>
      <c r="L29" s="48" t="str">
        <f t="shared" si="1"/>
        <v/>
      </c>
      <c r="M29" s="25"/>
      <c r="N29" s="25"/>
    </row>
    <row r="30" spans="2:14" x14ac:dyDescent="0.25">
      <c r="B30" s="53"/>
      <c r="C30" s="15"/>
      <c r="D30" s="15"/>
      <c r="E30" s="23"/>
      <c r="F30" s="23"/>
      <c r="G30" s="25"/>
      <c r="H30" s="26"/>
      <c r="I30" s="44"/>
      <c r="K30" s="25"/>
      <c r="L30" s="48" t="str">
        <f t="shared" si="1"/>
        <v/>
      </c>
      <c r="M30" s="25"/>
      <c r="N30" s="25"/>
    </row>
    <row r="31" spans="2:14" x14ac:dyDescent="0.25">
      <c r="B31" s="53"/>
      <c r="C31" s="15"/>
      <c r="D31" s="15"/>
      <c r="E31" s="23"/>
      <c r="F31" s="23"/>
      <c r="G31" s="25"/>
      <c r="H31" s="26"/>
      <c r="I31" s="44"/>
      <c r="K31" s="25"/>
      <c r="L31" s="48" t="str">
        <f t="shared" si="1"/>
        <v/>
      </c>
      <c r="M31" s="25"/>
      <c r="N31" s="25"/>
    </row>
    <row r="32" spans="2:14" x14ac:dyDescent="0.25">
      <c r="B32" s="53"/>
      <c r="C32" s="15"/>
      <c r="D32" s="15"/>
      <c r="E32" s="23"/>
      <c r="F32" s="23"/>
      <c r="G32" s="25"/>
      <c r="H32" s="26"/>
      <c r="I32" s="44"/>
      <c r="K32" s="25"/>
      <c r="L32" s="48" t="str">
        <f t="shared" si="1"/>
        <v/>
      </c>
      <c r="M32" s="25"/>
      <c r="N32" s="25"/>
    </row>
    <row r="33" spans="2:14" x14ac:dyDescent="0.25">
      <c r="B33" s="53"/>
      <c r="C33" s="15"/>
      <c r="D33" s="15"/>
      <c r="E33" s="23"/>
      <c r="F33" s="23"/>
      <c r="G33" s="41"/>
      <c r="H33" s="26"/>
      <c r="I33" s="44"/>
      <c r="K33" s="41"/>
      <c r="L33" s="41"/>
      <c r="M33" s="41"/>
      <c r="N33" s="41"/>
    </row>
    <row r="34" spans="2:14" x14ac:dyDescent="0.25">
      <c r="B34" s="53"/>
      <c r="C34" s="15"/>
      <c r="D34" s="15"/>
      <c r="E34" s="23"/>
      <c r="F34" s="23"/>
      <c r="G34" s="41"/>
      <c r="H34" s="26" t="str">
        <f t="shared" si="2"/>
        <v/>
      </c>
      <c r="I34" s="44"/>
      <c r="K34" s="41"/>
      <c r="L34" s="41"/>
      <c r="M34" s="41"/>
      <c r="N34" s="41"/>
    </row>
    <row r="35" spans="2:14" x14ac:dyDescent="0.25">
      <c r="B35" s="53"/>
      <c r="C35" s="15"/>
      <c r="D35" s="15"/>
      <c r="E35" s="23"/>
      <c r="F35" s="23"/>
      <c r="G35" s="41"/>
      <c r="H35" s="26"/>
      <c r="I35" s="44"/>
      <c r="K35" s="41"/>
      <c r="L35" s="41"/>
      <c r="M35" s="41"/>
      <c r="N35" s="41"/>
    </row>
    <row r="36" spans="2:14" x14ac:dyDescent="0.25">
      <c r="B36" s="53"/>
      <c r="C36" s="15"/>
      <c r="D36" s="15"/>
      <c r="E36" s="23"/>
      <c r="F36" s="23"/>
      <c r="G36" s="41"/>
      <c r="H36" s="26"/>
      <c r="I36" s="44"/>
      <c r="K36" s="41"/>
      <c r="L36" s="41"/>
      <c r="M36" s="41"/>
      <c r="N36" s="41"/>
    </row>
    <row r="37" spans="2:14" x14ac:dyDescent="0.25">
      <c r="B37" s="53"/>
      <c r="C37" s="15"/>
      <c r="D37" s="15"/>
      <c r="E37" s="23"/>
      <c r="F37" s="23"/>
      <c r="G37" s="41"/>
      <c r="H37" s="26"/>
      <c r="I37" s="44"/>
      <c r="K37" s="41"/>
      <c r="L37" s="41"/>
      <c r="M37" s="41"/>
      <c r="N37" s="41"/>
    </row>
    <row r="38" spans="2:14" s="31" customFormat="1" ht="19.5" customHeight="1" x14ac:dyDescent="0.25">
      <c r="B38" s="151" t="str">
        <f>$B$11</f>
        <v>C5.1</v>
      </c>
      <c r="C38" s="33" t="str">
        <f>"TOTAL CARRIED FORWARD"&amp;IF(H38=H$1," TO SUMMARY (Page C"&amp;Page_A&amp;")","")</f>
        <v>TOTAL CARRIED FORWARD TO SUMMARY (Page C57)</v>
      </c>
      <c r="D38" s="33"/>
      <c r="E38" s="34"/>
      <c r="F38" s="35"/>
      <c r="G38" s="34"/>
      <c r="H38" s="36">
        <f>SUM(H10:H37)</f>
        <v>0</v>
      </c>
      <c r="I38" s="37"/>
      <c r="K38" s="34"/>
      <c r="L38" s="36">
        <f>SUM(L10:L37)</f>
        <v>0</v>
      </c>
      <c r="M38" s="34"/>
      <c r="N38" s="34"/>
    </row>
  </sheetData>
  <mergeCells count="6">
    <mergeCell ref="B6:G8"/>
    <mergeCell ref="H5:H8"/>
    <mergeCell ref="B5:G5"/>
    <mergeCell ref="F2:H2"/>
    <mergeCell ref="B2:C2"/>
    <mergeCell ref="B3:C3"/>
  </mergeCells>
  <phoneticPr fontId="14" type="noConversion"/>
  <pageMargins left="0.62992125984251968" right="0.43307086614173229" top="0.62992125984251968" bottom="0.55118110236220474" header="0.51181102362204722" footer="0.31496062992125984"/>
  <pageSetup paperSize="9" scale="75"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C57E1-B033-4CB5-82FE-3D1B5C920CB2}">
  <sheetPr codeName="Sheet12">
    <tabColor rgb="FF92D050"/>
  </sheetPr>
  <dimension ref="B1:N58"/>
  <sheetViews>
    <sheetView view="pageBreakPreview" zoomScaleNormal="125" zoomScaleSheetLayoutView="100" zoomScalePageLayoutView="125" workbookViewId="0">
      <selection activeCell="H41" sqref="H41"/>
    </sheetView>
  </sheetViews>
  <sheetFormatPr defaultColWidth="6.6640625" defaultRowHeight="13.2" x14ac:dyDescent="0.25"/>
  <cols>
    <col min="1" max="1" width="0.6640625" style="1" customWidth="1"/>
    <col min="2" max="2" width="11.5546875" style="38" customWidth="1"/>
    <col min="3" max="3" width="45.5546875" style="3" customWidth="1"/>
    <col min="4" max="4" width="5.10937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0" width="6.6640625" style="1"/>
    <col min="11" max="14" width="15.5546875" style="1" customWidth="1"/>
    <col min="15" max="16384" width="6.6640625" style="1"/>
  </cols>
  <sheetData>
    <row r="1" spans="2:14" x14ac:dyDescent="0.25">
      <c r="H1" s="234">
        <f>MAX(H9:H500)</f>
        <v>0</v>
      </c>
    </row>
    <row r="2" spans="2:14" x14ac:dyDescent="0.25">
      <c r="B2" s="2" t="str">
        <f>Client1</f>
        <v>Province of KwaZulu-Natal</v>
      </c>
      <c r="F2" s="510" t="str">
        <f>"Contract No. "&amp;ContractNo</f>
        <v>Contract No. ZNB02215/00000/00/HOD/INF/23/T</v>
      </c>
      <c r="G2" s="510"/>
      <c r="H2" s="510"/>
      <c r="K2" s="402"/>
      <c r="L2" s="402">
        <f>MAX(L3:L245)</f>
        <v>0</v>
      </c>
      <c r="M2" s="402"/>
      <c r="N2" s="403"/>
    </row>
    <row r="3" spans="2:14" x14ac:dyDescent="0.25">
      <c r="B3" s="96" t="str">
        <f>Client2</f>
        <v>Department of Transport</v>
      </c>
      <c r="K3" s="1" t="s">
        <v>1421</v>
      </c>
      <c r="L3" s="1" t="s">
        <v>1422</v>
      </c>
      <c r="M3" s="1" t="s">
        <v>1423</v>
      </c>
      <c r="N3" s="1" t="s">
        <v>1424</v>
      </c>
    </row>
    <row r="4" spans="2:14" x14ac:dyDescent="0.25">
      <c r="B4" s="84"/>
      <c r="C4" s="84"/>
      <c r="D4" s="84"/>
      <c r="E4" s="85"/>
      <c r="F4" s="85"/>
      <c r="G4" s="86"/>
      <c r="H4" s="98"/>
      <c r="K4" s="86"/>
      <c r="L4" s="86"/>
      <c r="M4" s="86"/>
      <c r="N4" s="86"/>
    </row>
    <row r="5" spans="2:14" x14ac:dyDescent="0.25">
      <c r="B5" s="507" t="s">
        <v>8</v>
      </c>
      <c r="C5" s="508"/>
      <c r="D5" s="508"/>
      <c r="E5" s="508"/>
      <c r="F5" s="508"/>
      <c r="G5" s="508"/>
      <c r="H5" s="504" t="str">
        <f>"CHAPTER "&amp;B11</f>
        <v>CHAPTER C5.2</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05"/>
      <c r="I6" s="9"/>
    </row>
    <row r="7" spans="2:14" ht="12.75" customHeight="1" x14ac:dyDescent="0.25">
      <c r="B7" s="500"/>
      <c r="C7" s="501"/>
      <c r="D7" s="501"/>
      <c r="E7" s="501"/>
      <c r="F7" s="501"/>
      <c r="G7" s="501"/>
      <c r="H7" s="505"/>
      <c r="I7" s="9"/>
    </row>
    <row r="8" spans="2:14" ht="7.5" customHeight="1" x14ac:dyDescent="0.25">
      <c r="B8" s="502"/>
      <c r="C8" s="503"/>
      <c r="D8" s="503"/>
      <c r="E8" s="503"/>
      <c r="F8" s="503"/>
      <c r="G8" s="503"/>
      <c r="H8" s="506"/>
      <c r="I8" s="9"/>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53"/>
      <c r="C10" s="15"/>
      <c r="D10" s="15"/>
      <c r="E10" s="16"/>
      <c r="F10" s="16"/>
      <c r="G10" s="17"/>
      <c r="H10" s="26" t="str">
        <f t="shared" ref="H10:H21" si="0">IF(E10="","",F10*G10)</f>
        <v/>
      </c>
      <c r="I10" s="19"/>
      <c r="K10" s="17"/>
      <c r="L10" s="17"/>
      <c r="M10" s="17"/>
      <c r="N10" s="17"/>
    </row>
    <row r="11" spans="2:14" x14ac:dyDescent="0.25">
      <c r="B11" s="80" t="s">
        <v>321</v>
      </c>
      <c r="C11" s="21" t="s">
        <v>322</v>
      </c>
      <c r="D11" s="21"/>
      <c r="E11" s="23"/>
      <c r="F11" s="23"/>
      <c r="G11" s="43"/>
      <c r="H11" s="26" t="str">
        <f t="shared" si="0"/>
        <v/>
      </c>
      <c r="I11" s="44"/>
      <c r="K11" s="43"/>
      <c r="L11" s="43"/>
      <c r="M11" s="43"/>
      <c r="N11" s="43"/>
    </row>
    <row r="12" spans="2:14" x14ac:dyDescent="0.25">
      <c r="B12" s="80"/>
      <c r="C12" s="21"/>
      <c r="D12" s="21"/>
      <c r="E12" s="23"/>
      <c r="F12" s="23"/>
      <c r="G12" s="43"/>
      <c r="H12" s="26"/>
      <c r="I12" s="44"/>
      <c r="K12" s="43"/>
      <c r="L12" s="43"/>
      <c r="M12" s="43"/>
      <c r="N12" s="43"/>
    </row>
    <row r="13" spans="2:14" x14ac:dyDescent="0.25">
      <c r="B13" s="53" t="s">
        <v>323</v>
      </c>
      <c r="C13" s="15" t="s">
        <v>324</v>
      </c>
      <c r="D13" s="15"/>
      <c r="E13" s="23"/>
      <c r="F13" s="24"/>
      <c r="G13" s="43"/>
      <c r="H13" s="26" t="str">
        <f t="shared" si="0"/>
        <v/>
      </c>
      <c r="I13" s="44"/>
      <c r="K13" s="43"/>
      <c r="L13" s="48" t="str">
        <f t="shared" ref="L13:L34" si="1">IF(K13="","",K13*F13)</f>
        <v/>
      </c>
      <c r="M13" s="43"/>
      <c r="N13" s="43"/>
    </row>
    <row r="14" spans="2:14" x14ac:dyDescent="0.25">
      <c r="B14" s="53"/>
      <c r="C14" s="15"/>
      <c r="D14" s="15"/>
      <c r="E14" s="23"/>
      <c r="F14" s="24"/>
      <c r="G14" s="43"/>
      <c r="H14" s="26" t="str">
        <f t="shared" si="0"/>
        <v/>
      </c>
      <c r="I14" s="44"/>
      <c r="K14" s="43"/>
      <c r="L14" s="48" t="str">
        <f t="shared" si="1"/>
        <v/>
      </c>
      <c r="M14" s="43"/>
      <c r="N14" s="43"/>
    </row>
    <row r="15" spans="2:14" ht="26.4" x14ac:dyDescent="0.25">
      <c r="B15" s="53" t="s">
        <v>325</v>
      </c>
      <c r="C15" s="15" t="s">
        <v>326</v>
      </c>
      <c r="D15" s="15"/>
      <c r="E15" s="23"/>
      <c r="F15" s="24"/>
      <c r="G15" s="46"/>
      <c r="H15" s="26" t="str">
        <f t="shared" si="0"/>
        <v/>
      </c>
      <c r="I15" s="44"/>
      <c r="K15" s="46"/>
      <c r="L15" s="48" t="str">
        <f t="shared" si="1"/>
        <v/>
      </c>
      <c r="M15" s="46"/>
      <c r="N15" s="46"/>
    </row>
    <row r="16" spans="2:14" x14ac:dyDescent="0.25">
      <c r="B16" s="53"/>
      <c r="C16" s="15"/>
      <c r="D16" s="15"/>
      <c r="E16" s="23"/>
      <c r="F16" s="24"/>
      <c r="G16" s="43"/>
      <c r="H16" s="26" t="str">
        <f t="shared" si="0"/>
        <v/>
      </c>
      <c r="I16" s="47"/>
      <c r="K16" s="43"/>
      <c r="L16" s="48" t="str">
        <f t="shared" si="1"/>
        <v/>
      </c>
      <c r="M16" s="43"/>
      <c r="N16" s="43"/>
    </row>
    <row r="17" spans="2:14" ht="15.6" x14ac:dyDescent="0.25">
      <c r="B17" s="53" t="s">
        <v>51</v>
      </c>
      <c r="C17" s="15" t="s">
        <v>327</v>
      </c>
      <c r="D17" s="69" t="s">
        <v>1602</v>
      </c>
      <c r="E17" s="23" t="s">
        <v>34</v>
      </c>
      <c r="F17" s="24">
        <v>49580</v>
      </c>
      <c r="G17" s="463"/>
      <c r="H17" s="26">
        <f t="shared" si="0"/>
        <v>0</v>
      </c>
      <c r="K17" s="48">
        <f>6%*G17</f>
        <v>0</v>
      </c>
      <c r="L17" s="48">
        <f t="shared" si="1"/>
        <v>0</v>
      </c>
      <c r="M17" s="48"/>
      <c r="N17" s="48"/>
    </row>
    <row r="18" spans="2:14" x14ac:dyDescent="0.25">
      <c r="B18" s="53"/>
      <c r="C18" s="15"/>
      <c r="D18" s="15"/>
      <c r="E18" s="23"/>
      <c r="F18" s="24"/>
      <c r="G18" s="48"/>
      <c r="H18" s="26" t="str">
        <f t="shared" si="0"/>
        <v/>
      </c>
      <c r="K18" s="48"/>
      <c r="L18" s="48" t="str">
        <f t="shared" si="1"/>
        <v/>
      </c>
      <c r="M18" s="48"/>
      <c r="N18" s="48"/>
    </row>
    <row r="19" spans="2:14" ht="26.4" x14ac:dyDescent="0.25">
      <c r="B19" s="53" t="s">
        <v>329</v>
      </c>
      <c r="C19" s="15" t="s">
        <v>330</v>
      </c>
      <c r="D19" s="15"/>
      <c r="E19" s="23"/>
      <c r="F19" s="24"/>
      <c r="G19" s="41"/>
      <c r="H19" s="26" t="str">
        <f t="shared" si="0"/>
        <v/>
      </c>
      <c r="K19" s="41"/>
      <c r="L19" s="48" t="str">
        <f t="shared" si="1"/>
        <v/>
      </c>
      <c r="M19" s="41"/>
      <c r="N19" s="41"/>
    </row>
    <row r="20" spans="2:14" x14ac:dyDescent="0.25">
      <c r="B20" s="53"/>
      <c r="C20" s="15"/>
      <c r="D20" s="15"/>
      <c r="E20" s="23"/>
      <c r="F20" s="24"/>
      <c r="G20" s="48"/>
      <c r="H20" s="26" t="str">
        <f t="shared" si="0"/>
        <v/>
      </c>
      <c r="K20" s="48"/>
      <c r="L20" s="48" t="str">
        <f t="shared" si="1"/>
        <v/>
      </c>
      <c r="M20" s="48"/>
      <c r="N20" s="48"/>
    </row>
    <row r="21" spans="2:14" ht="15.6" x14ac:dyDescent="0.25">
      <c r="B21" s="53" t="s">
        <v>331</v>
      </c>
      <c r="C21" s="15" t="s">
        <v>332</v>
      </c>
      <c r="D21" s="15"/>
      <c r="E21" s="23" t="s">
        <v>80</v>
      </c>
      <c r="F21" s="24">
        <v>11550</v>
      </c>
      <c r="G21" s="48"/>
      <c r="H21" s="26">
        <f t="shared" si="0"/>
        <v>0</v>
      </c>
      <c r="K21" s="48">
        <f>6%*G21</f>
        <v>0</v>
      </c>
      <c r="L21" s="48">
        <f t="shared" si="1"/>
        <v>0</v>
      </c>
      <c r="M21" s="48"/>
      <c r="N21" s="48"/>
    </row>
    <row r="22" spans="2:14" x14ac:dyDescent="0.25">
      <c r="B22" s="53"/>
      <c r="C22" s="15"/>
      <c r="D22" s="15"/>
      <c r="E22" s="23"/>
      <c r="F22" s="24"/>
      <c r="G22" s="46"/>
      <c r="H22" s="26"/>
      <c r="K22" s="46"/>
      <c r="L22" s="48" t="str">
        <f t="shared" si="1"/>
        <v/>
      </c>
      <c r="M22" s="46"/>
      <c r="N22" s="46"/>
    </row>
    <row r="23" spans="2:14" x14ac:dyDescent="0.25">
      <c r="B23" s="53"/>
      <c r="C23" s="15"/>
      <c r="D23" s="15"/>
      <c r="E23" s="23"/>
      <c r="F23" s="24"/>
      <c r="G23" s="46"/>
      <c r="H23" s="26"/>
      <c r="K23" s="46"/>
      <c r="L23" s="48" t="str">
        <f t="shared" si="1"/>
        <v/>
      </c>
      <c r="M23" s="46"/>
      <c r="N23" s="46"/>
    </row>
    <row r="24" spans="2:14" x14ac:dyDescent="0.25">
      <c r="B24" s="53"/>
      <c r="C24" s="15"/>
      <c r="D24" s="15"/>
      <c r="E24" s="23"/>
      <c r="F24" s="24"/>
      <c r="G24" s="48"/>
      <c r="H24" s="26"/>
      <c r="K24" s="48"/>
      <c r="L24" s="48" t="str">
        <f t="shared" si="1"/>
        <v/>
      </c>
      <c r="M24" s="48"/>
      <c r="N24" s="48"/>
    </row>
    <row r="25" spans="2:14" x14ac:dyDescent="0.25">
      <c r="B25" s="53"/>
      <c r="C25" s="15"/>
      <c r="D25" s="15"/>
      <c r="E25" s="23"/>
      <c r="F25" s="24"/>
      <c r="G25" s="48"/>
      <c r="H25" s="26"/>
      <c r="K25" s="48"/>
      <c r="L25" s="48" t="str">
        <f t="shared" si="1"/>
        <v/>
      </c>
      <c r="M25" s="48"/>
      <c r="N25" s="48"/>
    </row>
    <row r="26" spans="2:14" x14ac:dyDescent="0.25">
      <c r="B26" s="53"/>
      <c r="C26" s="15"/>
      <c r="D26" s="15"/>
      <c r="E26" s="23"/>
      <c r="F26" s="24"/>
      <c r="G26" s="43"/>
      <c r="H26" s="26"/>
      <c r="I26" s="44"/>
      <c r="K26" s="43"/>
      <c r="L26" s="48" t="str">
        <f t="shared" si="1"/>
        <v/>
      </c>
      <c r="M26" s="43"/>
      <c r="N26" s="43"/>
    </row>
    <row r="27" spans="2:14" x14ac:dyDescent="0.25">
      <c r="B27" s="53"/>
      <c r="C27" s="15"/>
      <c r="D27" s="15"/>
      <c r="E27" s="23"/>
      <c r="F27" s="24"/>
      <c r="G27" s="43"/>
      <c r="H27" s="26"/>
      <c r="I27" s="44"/>
      <c r="K27" s="43"/>
      <c r="L27" s="48" t="str">
        <f t="shared" si="1"/>
        <v/>
      </c>
      <c r="M27" s="43"/>
      <c r="N27" s="43"/>
    </row>
    <row r="28" spans="2:14" x14ac:dyDescent="0.25">
      <c r="B28" s="53"/>
      <c r="C28" s="15"/>
      <c r="D28" s="15"/>
      <c r="E28" s="23"/>
      <c r="F28" s="24"/>
      <c r="G28" s="43"/>
      <c r="H28" s="26"/>
      <c r="I28" s="44"/>
      <c r="K28" s="43"/>
      <c r="L28" s="48" t="str">
        <f t="shared" si="1"/>
        <v/>
      </c>
      <c r="M28" s="43"/>
      <c r="N28" s="43"/>
    </row>
    <row r="29" spans="2:14" x14ac:dyDescent="0.25">
      <c r="B29" s="53"/>
      <c r="C29" s="15"/>
      <c r="D29" s="15"/>
      <c r="E29" s="23"/>
      <c r="F29" s="24"/>
      <c r="G29" s="43"/>
      <c r="H29" s="26"/>
      <c r="I29" s="44"/>
      <c r="K29" s="43"/>
      <c r="L29" s="48" t="str">
        <f t="shared" si="1"/>
        <v/>
      </c>
      <c r="M29" s="43"/>
      <c r="N29" s="43"/>
    </row>
    <row r="30" spans="2:14" x14ac:dyDescent="0.25">
      <c r="B30" s="53"/>
      <c r="C30" s="15"/>
      <c r="D30" s="15"/>
      <c r="E30" s="23"/>
      <c r="F30" s="24"/>
      <c r="G30" s="41"/>
      <c r="H30" s="26"/>
      <c r="I30" s="45"/>
      <c r="K30" s="41"/>
      <c r="L30" s="48" t="str">
        <f t="shared" si="1"/>
        <v/>
      </c>
      <c r="M30" s="41"/>
      <c r="N30" s="41"/>
    </row>
    <row r="31" spans="2:14" x14ac:dyDescent="0.25">
      <c r="B31" s="53"/>
      <c r="C31" s="15"/>
      <c r="D31" s="15"/>
      <c r="E31" s="23"/>
      <c r="F31" s="24"/>
      <c r="G31" s="41"/>
      <c r="H31" s="26"/>
      <c r="I31" s="45"/>
      <c r="K31" s="41"/>
      <c r="L31" s="48" t="str">
        <f t="shared" si="1"/>
        <v/>
      </c>
      <c r="M31" s="41"/>
      <c r="N31" s="41"/>
    </row>
    <row r="32" spans="2:14" x14ac:dyDescent="0.25">
      <c r="B32" s="53"/>
      <c r="C32" s="15"/>
      <c r="D32" s="15"/>
      <c r="E32" s="23"/>
      <c r="F32" s="27"/>
      <c r="G32" s="30"/>
      <c r="H32" s="26"/>
      <c r="I32" s="19"/>
      <c r="K32" s="30"/>
      <c r="L32" s="48" t="str">
        <f t="shared" si="1"/>
        <v/>
      </c>
      <c r="M32" s="30"/>
      <c r="N32" s="30"/>
    </row>
    <row r="33" spans="2:14" x14ac:dyDescent="0.25">
      <c r="B33" s="53"/>
      <c r="C33" s="15"/>
      <c r="D33" s="15"/>
      <c r="E33" s="23"/>
      <c r="F33" s="27"/>
      <c r="G33" s="30"/>
      <c r="H33" s="26"/>
      <c r="I33" s="19"/>
      <c r="K33" s="30"/>
      <c r="L33" s="48" t="str">
        <f t="shared" si="1"/>
        <v/>
      </c>
      <c r="M33" s="30"/>
      <c r="N33" s="30"/>
    </row>
    <row r="34" spans="2:14" s="39" customFormat="1" x14ac:dyDescent="0.25">
      <c r="B34" s="53"/>
      <c r="C34" s="15"/>
      <c r="D34" s="15"/>
      <c r="E34" s="23"/>
      <c r="F34" s="27"/>
      <c r="G34" s="30"/>
      <c r="H34" s="26"/>
      <c r="I34" s="19"/>
      <c r="K34" s="30"/>
      <c r="L34" s="48" t="str">
        <f t="shared" si="1"/>
        <v/>
      </c>
      <c r="M34" s="30"/>
      <c r="N34" s="30"/>
    </row>
    <row r="35" spans="2:14" x14ac:dyDescent="0.25">
      <c r="B35" s="53"/>
      <c r="C35" s="15"/>
      <c r="D35" s="15"/>
      <c r="E35" s="23"/>
      <c r="F35" s="24"/>
      <c r="G35" s="41"/>
      <c r="H35" s="26"/>
      <c r="I35" s="45"/>
      <c r="K35" s="41"/>
      <c r="L35" s="41"/>
      <c r="M35" s="41"/>
      <c r="N35" s="41"/>
    </row>
    <row r="36" spans="2:14" x14ac:dyDescent="0.25">
      <c r="B36" s="53"/>
      <c r="C36" s="15"/>
      <c r="D36" s="15"/>
      <c r="E36" s="23"/>
      <c r="F36" s="24"/>
      <c r="G36" s="41"/>
      <c r="H36" s="26"/>
      <c r="I36" s="45"/>
      <c r="K36" s="41"/>
      <c r="L36" s="41"/>
      <c r="M36" s="41"/>
      <c r="N36" s="41"/>
    </row>
    <row r="37" spans="2:14" x14ac:dyDescent="0.25">
      <c r="B37" s="53"/>
      <c r="C37" s="15"/>
      <c r="D37" s="15"/>
      <c r="E37" s="23"/>
      <c r="F37" s="24"/>
      <c r="G37" s="50"/>
      <c r="H37" s="26"/>
      <c r="I37" s="44"/>
      <c r="K37" s="50"/>
      <c r="L37" s="50"/>
      <c r="M37" s="50"/>
      <c r="N37" s="50"/>
    </row>
    <row r="38" spans="2:14" x14ac:dyDescent="0.25">
      <c r="B38" s="53"/>
      <c r="C38" s="15"/>
      <c r="D38" s="15"/>
      <c r="E38" s="23"/>
      <c r="F38" s="24"/>
      <c r="G38" s="50"/>
      <c r="H38" s="26"/>
      <c r="I38" s="44"/>
      <c r="K38" s="50"/>
      <c r="L38" s="50"/>
      <c r="M38" s="50"/>
      <c r="N38" s="50"/>
    </row>
    <row r="39" spans="2:14" x14ac:dyDescent="0.25">
      <c r="B39" s="53"/>
      <c r="C39" s="29"/>
      <c r="D39" s="147"/>
      <c r="E39" s="23"/>
      <c r="F39" s="24"/>
      <c r="G39" s="46"/>
      <c r="H39" s="26"/>
      <c r="I39" s="44"/>
      <c r="K39" s="46"/>
      <c r="L39" s="46"/>
      <c r="M39" s="46"/>
      <c r="N39" s="46"/>
    </row>
    <row r="40" spans="2:14" x14ac:dyDescent="0.25">
      <c r="B40" s="53"/>
      <c r="C40" s="29"/>
      <c r="D40" s="147"/>
      <c r="E40" s="23"/>
      <c r="F40" s="24"/>
      <c r="G40" s="46"/>
      <c r="H40" s="26"/>
      <c r="I40" s="44"/>
      <c r="K40" s="46"/>
      <c r="L40" s="46"/>
      <c r="M40" s="46"/>
      <c r="N40" s="46"/>
    </row>
    <row r="41" spans="2:14" x14ac:dyDescent="0.25">
      <c r="B41" s="53"/>
      <c r="C41" s="15"/>
      <c r="D41" s="15"/>
      <c r="E41" s="23"/>
      <c r="F41" s="23"/>
      <c r="G41" s="43"/>
      <c r="H41" s="26"/>
      <c r="I41" s="44"/>
      <c r="K41" s="43"/>
      <c r="L41" s="43"/>
      <c r="M41" s="43"/>
      <c r="N41" s="43"/>
    </row>
    <row r="42" spans="2:14" x14ac:dyDescent="0.25">
      <c r="B42" s="53"/>
      <c r="C42" s="15"/>
      <c r="D42" s="15"/>
      <c r="E42" s="23"/>
      <c r="F42" s="23"/>
      <c r="G42" s="43"/>
      <c r="H42" s="26"/>
      <c r="I42" s="44"/>
      <c r="K42" s="43"/>
      <c r="L42" s="43"/>
      <c r="M42" s="43"/>
      <c r="N42" s="43"/>
    </row>
    <row r="43" spans="2:14" x14ac:dyDescent="0.25">
      <c r="B43" s="53"/>
      <c r="C43" s="15"/>
      <c r="D43" s="15"/>
      <c r="E43" s="23"/>
      <c r="F43" s="23"/>
      <c r="G43" s="43"/>
      <c r="H43" s="26"/>
      <c r="I43" s="44"/>
      <c r="K43" s="43"/>
      <c r="L43" s="43"/>
      <c r="M43" s="43"/>
      <c r="N43" s="43"/>
    </row>
    <row r="44" spans="2:14" x14ac:dyDescent="0.25">
      <c r="B44" s="53"/>
      <c r="C44" s="15"/>
      <c r="D44" s="15"/>
      <c r="E44" s="23"/>
      <c r="F44" s="23"/>
      <c r="G44" s="41"/>
      <c r="H44" s="26"/>
      <c r="I44" s="44"/>
      <c r="K44" s="41"/>
      <c r="L44" s="41"/>
      <c r="M44" s="41"/>
      <c r="N44" s="41"/>
    </row>
    <row r="45" spans="2:14" x14ac:dyDescent="0.25">
      <c r="B45" s="53"/>
      <c r="C45" s="15"/>
      <c r="D45" s="15"/>
      <c r="E45" s="23"/>
      <c r="F45" s="23"/>
      <c r="G45" s="41"/>
      <c r="H45" s="26"/>
      <c r="I45" s="44"/>
      <c r="K45" s="41"/>
      <c r="L45" s="41"/>
      <c r="M45" s="41"/>
      <c r="N45" s="41"/>
    </row>
    <row r="46" spans="2:14" x14ac:dyDescent="0.25">
      <c r="B46" s="53"/>
      <c r="C46" s="15"/>
      <c r="D46" s="15"/>
      <c r="E46" s="23"/>
      <c r="F46" s="23"/>
      <c r="G46" s="41"/>
      <c r="H46" s="26"/>
      <c r="I46" s="44"/>
      <c r="K46" s="41"/>
      <c r="L46" s="41"/>
      <c r="M46" s="41"/>
      <c r="N46" s="41"/>
    </row>
    <row r="47" spans="2:14" x14ac:dyDescent="0.25">
      <c r="B47" s="53"/>
      <c r="C47" s="15"/>
      <c r="D47" s="15"/>
      <c r="E47" s="23"/>
      <c r="F47" s="23"/>
      <c r="G47" s="41"/>
      <c r="H47" s="26"/>
      <c r="I47" s="44"/>
      <c r="K47" s="41"/>
      <c r="L47" s="41"/>
      <c r="M47" s="41"/>
      <c r="N47" s="41"/>
    </row>
    <row r="48" spans="2:14" x14ac:dyDescent="0.25">
      <c r="B48" s="53"/>
      <c r="C48" s="15"/>
      <c r="D48" s="15"/>
      <c r="E48" s="23"/>
      <c r="F48" s="23"/>
      <c r="G48" s="41"/>
      <c r="H48" s="26"/>
      <c r="I48" s="44"/>
      <c r="K48" s="41"/>
      <c r="L48" s="41"/>
      <c r="M48" s="41"/>
      <c r="N48" s="41"/>
    </row>
    <row r="49" spans="2:14" x14ac:dyDescent="0.25">
      <c r="B49" s="53"/>
      <c r="C49" s="15"/>
      <c r="D49" s="15"/>
      <c r="E49" s="23"/>
      <c r="F49" s="23"/>
      <c r="G49" s="41"/>
      <c r="H49" s="26"/>
      <c r="I49" s="44"/>
      <c r="K49" s="41"/>
      <c r="L49" s="41"/>
      <c r="M49" s="41"/>
      <c r="N49" s="41"/>
    </row>
    <row r="50" spans="2:14" x14ac:dyDescent="0.25">
      <c r="B50" s="53"/>
      <c r="C50" s="15"/>
      <c r="D50" s="15"/>
      <c r="E50" s="23"/>
      <c r="F50" s="23"/>
      <c r="G50" s="41"/>
      <c r="H50" s="26"/>
      <c r="I50" s="44"/>
      <c r="K50" s="41"/>
      <c r="L50" s="41"/>
      <c r="M50" s="41"/>
      <c r="N50" s="41"/>
    </row>
    <row r="51" spans="2:14" x14ac:dyDescent="0.25">
      <c r="B51" s="53"/>
      <c r="C51" s="15"/>
      <c r="D51" s="15"/>
      <c r="E51" s="23"/>
      <c r="F51" s="23"/>
      <c r="G51" s="41"/>
      <c r="H51" s="26" t="str">
        <f>IF(E51="","",F51*G51)</f>
        <v/>
      </c>
      <c r="I51" s="44"/>
      <c r="K51" s="41"/>
      <c r="L51" s="41"/>
      <c r="M51" s="41"/>
      <c r="N51" s="41"/>
    </row>
    <row r="52" spans="2:14" x14ac:dyDescent="0.25">
      <c r="B52" s="53"/>
      <c r="C52" s="15"/>
      <c r="D52" s="15"/>
      <c r="E52" s="23"/>
      <c r="F52" s="23"/>
      <c r="G52" s="41"/>
      <c r="H52" s="26"/>
      <c r="I52" s="44"/>
      <c r="K52" s="41"/>
      <c r="L52" s="41"/>
      <c r="M52" s="41"/>
      <c r="N52" s="41"/>
    </row>
    <row r="53" spans="2:14" x14ac:dyDescent="0.25">
      <c r="B53" s="53"/>
      <c r="C53" s="15"/>
      <c r="D53" s="15"/>
      <c r="E53" s="23"/>
      <c r="F53" s="23"/>
      <c r="G53" s="41"/>
      <c r="H53" s="26"/>
      <c r="I53" s="44"/>
      <c r="K53" s="41"/>
      <c r="L53" s="41"/>
      <c r="M53" s="41"/>
      <c r="N53" s="41"/>
    </row>
    <row r="54" spans="2:14" x14ac:dyDescent="0.25">
      <c r="B54" s="53"/>
      <c r="C54" s="15"/>
      <c r="D54" s="15"/>
      <c r="E54" s="23"/>
      <c r="F54" s="23"/>
      <c r="G54" s="41"/>
      <c r="H54" s="26"/>
      <c r="I54" s="44"/>
      <c r="K54" s="41"/>
      <c r="L54" s="41"/>
      <c r="M54" s="41"/>
      <c r="N54" s="41"/>
    </row>
    <row r="55" spans="2:14" x14ac:dyDescent="0.25">
      <c r="B55" s="53"/>
      <c r="C55" s="15"/>
      <c r="D55" s="15"/>
      <c r="E55" s="23"/>
      <c r="F55" s="23"/>
      <c r="G55" s="41"/>
      <c r="H55" s="26"/>
      <c r="I55" s="44"/>
      <c r="K55" s="41"/>
      <c r="L55" s="41"/>
      <c r="M55" s="41"/>
      <c r="N55" s="41"/>
    </row>
    <row r="56" spans="2:14" x14ac:dyDescent="0.25">
      <c r="B56" s="53"/>
      <c r="C56" s="15"/>
      <c r="D56" s="15"/>
      <c r="E56" s="23"/>
      <c r="F56" s="23"/>
      <c r="G56" s="41"/>
      <c r="H56" s="26"/>
      <c r="I56" s="44"/>
      <c r="K56" s="41"/>
      <c r="L56" s="41"/>
      <c r="M56" s="41"/>
      <c r="N56" s="41"/>
    </row>
    <row r="57" spans="2:14" x14ac:dyDescent="0.25">
      <c r="B57" s="53"/>
      <c r="C57" s="15"/>
      <c r="D57" s="15"/>
      <c r="E57" s="23"/>
      <c r="F57" s="23"/>
      <c r="G57" s="41"/>
      <c r="H57" s="26"/>
      <c r="I57" s="44"/>
      <c r="K57" s="41"/>
      <c r="L57" s="41"/>
      <c r="M57" s="41"/>
      <c r="N57" s="41"/>
    </row>
    <row r="58" spans="2:14" s="31" customFormat="1" ht="19.5" customHeight="1" x14ac:dyDescent="0.25">
      <c r="B58" s="151" t="str">
        <f>$B$11</f>
        <v>C5.2</v>
      </c>
      <c r="C58" s="33" t="str">
        <f>"TOTAL CARRIED FORWARD"&amp;IF(H58=H$1," TO SUMMARY (Page C"&amp;Page_A&amp;")","")</f>
        <v>TOTAL CARRIED FORWARD TO SUMMARY (Page C57)</v>
      </c>
      <c r="D58" s="33"/>
      <c r="E58" s="34"/>
      <c r="F58" s="35"/>
      <c r="G58" s="34"/>
      <c r="H58" s="36">
        <f>SUM(H10:H57)</f>
        <v>0</v>
      </c>
      <c r="I58" s="37"/>
      <c r="K58" s="34"/>
      <c r="L58" s="36">
        <f>SUM(L10:L57)</f>
        <v>0</v>
      </c>
      <c r="M58" s="34"/>
      <c r="N58" s="34"/>
    </row>
  </sheetData>
  <mergeCells count="4">
    <mergeCell ref="F2:H2"/>
    <mergeCell ref="B6:G8"/>
    <mergeCell ref="H5:H8"/>
    <mergeCell ref="B5:G5"/>
  </mergeCells>
  <phoneticPr fontId="14" type="noConversion"/>
  <pageMargins left="0.62992125984251968" right="0.43307086614173229" top="0.62992125984251968" bottom="0.55118110236220474" header="0.51181102362204722" footer="0.31496062992125984"/>
  <pageSetup paperSize="9" scale="75"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B1B3-7B95-433A-A31F-DB5386214C4A}">
  <sheetPr codeName="Sheet13">
    <tabColor rgb="FF92D050"/>
  </sheetPr>
  <dimension ref="B1:N40"/>
  <sheetViews>
    <sheetView view="pageBreakPreview" zoomScaleNormal="125" zoomScaleSheetLayoutView="100" zoomScalePageLayoutView="125" workbookViewId="0">
      <selection activeCell="F30" sqref="F30"/>
    </sheetView>
  </sheetViews>
  <sheetFormatPr defaultColWidth="6.6640625" defaultRowHeight="13.2" x14ac:dyDescent="0.25"/>
  <cols>
    <col min="1" max="1" width="0.6640625" style="1" customWidth="1"/>
    <col min="2" max="2" width="11.5546875" style="38" customWidth="1"/>
    <col min="3" max="3" width="45.5546875" style="57" customWidth="1"/>
    <col min="4" max="4" width="5.33203125" style="57" customWidth="1"/>
    <col min="5" max="5" width="13.5546875" style="4" customWidth="1"/>
    <col min="6" max="6" width="15.5546875" style="4" customWidth="1"/>
    <col min="7" max="7" width="15.5546875" style="1" customWidth="1"/>
    <col min="8" max="8" width="15.5546875" style="5" customWidth="1"/>
    <col min="9" max="9" width="0.6640625" style="5" customWidth="1"/>
    <col min="10" max="10" width="6.6640625" style="1"/>
    <col min="11" max="14" width="15.5546875" style="1" customWidth="1"/>
    <col min="15" max="16384" width="6.6640625" style="1"/>
  </cols>
  <sheetData>
    <row r="1" spans="2:14" x14ac:dyDescent="0.25">
      <c r="H1" s="234">
        <f>MAX(H9:H500)</f>
        <v>0</v>
      </c>
    </row>
    <row r="2" spans="2:14" x14ac:dyDescent="0.25">
      <c r="B2" s="2" t="str">
        <f>Client1</f>
        <v>Province of KwaZulu-Natal</v>
      </c>
      <c r="F2" s="510" t="str">
        <f>"Contract No. "&amp;ContractNo</f>
        <v>Contract No. ZNB02215/00000/00/HOD/INF/23/T</v>
      </c>
      <c r="G2" s="510"/>
      <c r="H2" s="510"/>
      <c r="K2" s="402"/>
      <c r="L2" s="402">
        <f>MAX(L3:L245)</f>
        <v>0</v>
      </c>
      <c r="M2" s="402"/>
      <c r="N2" s="403"/>
    </row>
    <row r="3" spans="2:14" x14ac:dyDescent="0.25">
      <c r="B3" s="96" t="str">
        <f>Client2</f>
        <v>Department of Transport</v>
      </c>
      <c r="K3" s="1" t="s">
        <v>1421</v>
      </c>
      <c r="L3" s="1" t="s">
        <v>1422</v>
      </c>
      <c r="M3" s="1" t="s">
        <v>1423</v>
      </c>
      <c r="N3" s="1" t="s">
        <v>1424</v>
      </c>
    </row>
    <row r="4" spans="2:14" x14ac:dyDescent="0.25">
      <c r="B4" s="84"/>
      <c r="C4" s="99"/>
      <c r="D4" s="99"/>
      <c r="E4" s="85"/>
      <c r="F4" s="85"/>
      <c r="G4" s="86"/>
      <c r="H4" s="98"/>
      <c r="K4" s="86"/>
      <c r="L4" s="86"/>
      <c r="M4" s="86"/>
      <c r="N4" s="86"/>
    </row>
    <row r="5" spans="2:14" x14ac:dyDescent="0.25">
      <c r="B5" s="507" t="s">
        <v>8</v>
      </c>
      <c r="C5" s="508"/>
      <c r="D5" s="508"/>
      <c r="E5" s="508"/>
      <c r="F5" s="508"/>
      <c r="G5" s="508"/>
      <c r="H5" s="504" t="str">
        <f>"CHAPTER "&amp;B11</f>
        <v>CHAPTER C5.3</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05"/>
      <c r="I6" s="9"/>
    </row>
    <row r="7" spans="2:14" ht="12.75" customHeight="1" x14ac:dyDescent="0.25">
      <c r="B7" s="500"/>
      <c r="C7" s="501"/>
      <c r="D7" s="501"/>
      <c r="E7" s="501"/>
      <c r="F7" s="501"/>
      <c r="G7" s="501"/>
      <c r="H7" s="505"/>
      <c r="I7" s="9"/>
    </row>
    <row r="8" spans="2:14" ht="7.5" customHeight="1" x14ac:dyDescent="0.25">
      <c r="B8" s="502"/>
      <c r="C8" s="503"/>
      <c r="D8" s="503"/>
      <c r="E8" s="503"/>
      <c r="F8" s="503"/>
      <c r="G8" s="503"/>
      <c r="H8" s="506"/>
      <c r="I8" s="9"/>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14"/>
      <c r="C10" s="15"/>
      <c r="D10" s="15"/>
      <c r="E10" s="16"/>
      <c r="F10" s="16"/>
      <c r="G10" s="17"/>
      <c r="H10" s="18" t="str">
        <f t="shared" ref="H10:H25" si="0">IF(E10="","",F10*G10)</f>
        <v/>
      </c>
      <c r="I10" s="19"/>
      <c r="K10" s="17"/>
      <c r="L10" s="48" t="str">
        <f t="shared" ref="L10:L39" si="1">IF(K10="","",K10*F10)</f>
        <v/>
      </c>
      <c r="M10" s="17"/>
      <c r="N10" s="17"/>
    </row>
    <row r="11" spans="2:14" x14ac:dyDescent="0.25">
      <c r="B11" s="80" t="s">
        <v>333</v>
      </c>
      <c r="C11" s="21" t="s">
        <v>334</v>
      </c>
      <c r="D11" s="21"/>
      <c r="E11" s="23"/>
      <c r="F11" s="23"/>
      <c r="G11" s="43"/>
      <c r="H11" s="18" t="str">
        <f t="shared" si="0"/>
        <v/>
      </c>
      <c r="I11" s="44"/>
      <c r="K11" s="43"/>
      <c r="L11" s="48" t="str">
        <f t="shared" si="1"/>
        <v/>
      </c>
      <c r="M11" s="43"/>
      <c r="N11" s="43"/>
    </row>
    <row r="12" spans="2:14" x14ac:dyDescent="0.25">
      <c r="B12" s="53"/>
      <c r="C12" s="15"/>
      <c r="D12" s="15"/>
      <c r="E12" s="23"/>
      <c r="F12" s="23"/>
      <c r="G12" s="43"/>
      <c r="H12" s="18" t="str">
        <f t="shared" si="0"/>
        <v/>
      </c>
      <c r="I12" s="44"/>
      <c r="K12" s="43"/>
      <c r="L12" s="48" t="str">
        <f t="shared" si="1"/>
        <v/>
      </c>
      <c r="M12" s="43"/>
      <c r="N12" s="43"/>
    </row>
    <row r="13" spans="2:14" ht="26.4" x14ac:dyDescent="0.25">
      <c r="B13" s="53" t="s">
        <v>335</v>
      </c>
      <c r="C13" s="15" t="s">
        <v>336</v>
      </c>
      <c r="D13" s="15"/>
      <c r="E13" s="23" t="s">
        <v>44</v>
      </c>
      <c r="F13" s="23">
        <v>2</v>
      </c>
      <c r="G13" s="43"/>
      <c r="H13" s="18">
        <f t="shared" si="0"/>
        <v>0</v>
      </c>
      <c r="I13" s="44"/>
      <c r="K13" s="43"/>
      <c r="L13" s="48" t="str">
        <f t="shared" si="1"/>
        <v/>
      </c>
      <c r="M13" s="43"/>
      <c r="N13" s="43"/>
    </row>
    <row r="14" spans="2:14" x14ac:dyDescent="0.25">
      <c r="B14" s="53"/>
      <c r="C14" s="15"/>
      <c r="D14" s="15"/>
      <c r="E14" s="23"/>
      <c r="F14" s="23"/>
      <c r="G14" s="43"/>
      <c r="H14" s="18" t="str">
        <f t="shared" si="0"/>
        <v/>
      </c>
      <c r="I14" s="44"/>
      <c r="K14" s="43"/>
      <c r="L14" s="48" t="str">
        <f t="shared" si="1"/>
        <v/>
      </c>
      <c r="M14" s="43"/>
      <c r="N14" s="43"/>
    </row>
    <row r="15" spans="2:14" x14ac:dyDescent="0.25">
      <c r="B15" s="53" t="s">
        <v>338</v>
      </c>
      <c r="C15" s="15" t="s">
        <v>339</v>
      </c>
      <c r="D15" s="15"/>
      <c r="E15" s="23"/>
      <c r="F15" s="24"/>
      <c r="G15" s="25"/>
      <c r="H15" s="18" t="str">
        <f t="shared" si="0"/>
        <v/>
      </c>
      <c r="I15" s="45"/>
      <c r="K15" s="25"/>
      <c r="L15" s="48" t="str">
        <f t="shared" si="1"/>
        <v/>
      </c>
      <c r="M15" s="25"/>
      <c r="N15" s="25"/>
    </row>
    <row r="16" spans="2:14" x14ac:dyDescent="0.25">
      <c r="B16" s="53"/>
      <c r="C16" s="15"/>
      <c r="D16" s="15"/>
      <c r="E16" s="23"/>
      <c r="F16" s="24"/>
      <c r="G16" s="25"/>
      <c r="H16" s="18" t="str">
        <f t="shared" si="0"/>
        <v/>
      </c>
      <c r="I16" s="45"/>
      <c r="K16" s="25"/>
      <c r="L16" s="48" t="str">
        <f t="shared" si="1"/>
        <v/>
      </c>
      <c r="M16" s="25"/>
      <c r="N16" s="25"/>
    </row>
    <row r="17" spans="2:14" ht="26.4" x14ac:dyDescent="0.25">
      <c r="B17" s="53" t="s">
        <v>337</v>
      </c>
      <c r="C17" s="15" t="s">
        <v>1165</v>
      </c>
      <c r="D17" s="15"/>
      <c r="E17" s="23"/>
      <c r="F17" s="24"/>
      <c r="G17" s="25"/>
      <c r="H17" s="18" t="str">
        <f t="shared" si="0"/>
        <v/>
      </c>
      <c r="I17" s="45"/>
      <c r="K17" s="25"/>
      <c r="L17" s="48" t="str">
        <f t="shared" si="1"/>
        <v/>
      </c>
      <c r="M17" s="25"/>
      <c r="N17" s="25"/>
    </row>
    <row r="18" spans="2:14" x14ac:dyDescent="0.25">
      <c r="B18" s="53"/>
      <c r="C18" s="15"/>
      <c r="D18" s="15"/>
      <c r="E18" s="23"/>
      <c r="F18" s="24"/>
      <c r="G18" s="25"/>
      <c r="H18" s="18" t="str">
        <f t="shared" si="0"/>
        <v/>
      </c>
      <c r="I18" s="45"/>
      <c r="K18" s="25"/>
      <c r="L18" s="48" t="str">
        <f t="shared" si="1"/>
        <v/>
      </c>
      <c r="M18" s="25"/>
      <c r="N18" s="25"/>
    </row>
    <row r="19" spans="2:14" ht="26.4" x14ac:dyDescent="0.25">
      <c r="B19" s="53" t="s">
        <v>65</v>
      </c>
      <c r="C19" s="15" t="s">
        <v>1167</v>
      </c>
      <c r="D19" s="69" t="s">
        <v>1602</v>
      </c>
      <c r="E19" s="23" t="s">
        <v>647</v>
      </c>
      <c r="F19" s="24">
        <f>3330+7769</f>
        <v>11099</v>
      </c>
      <c r="G19" s="43"/>
      <c r="H19" s="18">
        <f t="shared" si="0"/>
        <v>0</v>
      </c>
      <c r="K19" s="43">
        <f>G19*4%</f>
        <v>0</v>
      </c>
      <c r="L19" s="48">
        <f t="shared" si="1"/>
        <v>0</v>
      </c>
      <c r="M19" s="43"/>
      <c r="N19" s="43"/>
    </row>
    <row r="20" spans="2:14" x14ac:dyDescent="0.25">
      <c r="B20" s="53"/>
      <c r="C20" s="15"/>
      <c r="D20" s="15"/>
      <c r="E20" s="23"/>
      <c r="F20" s="24"/>
      <c r="G20" s="43"/>
      <c r="H20" s="18" t="str">
        <f t="shared" si="0"/>
        <v/>
      </c>
      <c r="K20" s="43"/>
      <c r="L20" s="48" t="str">
        <f t="shared" si="1"/>
        <v/>
      </c>
      <c r="M20" s="43"/>
      <c r="N20" s="43"/>
    </row>
    <row r="21" spans="2:14" ht="26.4" x14ac:dyDescent="0.25">
      <c r="B21" s="53" t="s">
        <v>62</v>
      </c>
      <c r="C21" s="15" t="s">
        <v>1168</v>
      </c>
      <c r="D21" s="69" t="s">
        <v>1602</v>
      </c>
      <c r="E21" s="23" t="s">
        <v>647</v>
      </c>
      <c r="F21" s="24">
        <v>1798</v>
      </c>
      <c r="G21" s="41"/>
      <c r="H21" s="18">
        <f t="shared" si="0"/>
        <v>0</v>
      </c>
      <c r="K21" s="43">
        <f>G21*4%</f>
        <v>0</v>
      </c>
      <c r="L21" s="48">
        <f t="shared" si="1"/>
        <v>0</v>
      </c>
      <c r="M21" s="41"/>
      <c r="N21" s="41"/>
    </row>
    <row r="22" spans="2:14" x14ac:dyDescent="0.25">
      <c r="B22" s="53"/>
      <c r="C22" s="15"/>
      <c r="D22" s="15"/>
      <c r="E22" s="23"/>
      <c r="F22" s="24"/>
      <c r="G22" s="41"/>
      <c r="H22" s="18" t="str">
        <f t="shared" si="0"/>
        <v/>
      </c>
      <c r="K22" s="41"/>
      <c r="L22" s="48" t="str">
        <f t="shared" si="1"/>
        <v/>
      </c>
      <c r="M22" s="41"/>
      <c r="N22" s="41"/>
    </row>
    <row r="23" spans="2:14" ht="26.4" x14ac:dyDescent="0.25">
      <c r="B23" s="53" t="s">
        <v>341</v>
      </c>
      <c r="C23" s="15" t="s">
        <v>1166</v>
      </c>
      <c r="D23" s="69" t="s">
        <v>1602</v>
      </c>
      <c r="E23" s="23" t="s">
        <v>647</v>
      </c>
      <c r="F23" s="24">
        <f>1421+14212</f>
        <v>15633</v>
      </c>
      <c r="G23" s="43"/>
      <c r="H23" s="18">
        <f t="shared" si="0"/>
        <v>0</v>
      </c>
      <c r="I23" s="44"/>
      <c r="K23" s="43">
        <f>G23*4%</f>
        <v>0</v>
      </c>
      <c r="L23" s="48">
        <f t="shared" si="1"/>
        <v>0</v>
      </c>
      <c r="M23" s="43"/>
      <c r="N23" s="43"/>
    </row>
    <row r="24" spans="2:14" x14ac:dyDescent="0.25">
      <c r="B24" s="53"/>
      <c r="C24" s="15"/>
      <c r="D24" s="15"/>
      <c r="E24" s="23"/>
      <c r="F24" s="24"/>
      <c r="G24" s="43"/>
      <c r="H24" s="18" t="str">
        <f t="shared" si="0"/>
        <v/>
      </c>
      <c r="I24" s="44"/>
      <c r="K24" s="43"/>
      <c r="L24" s="48" t="str">
        <f t="shared" si="1"/>
        <v/>
      </c>
      <c r="M24" s="43"/>
      <c r="N24" s="43"/>
    </row>
    <row r="25" spans="2:14" ht="26.4" x14ac:dyDescent="0.25">
      <c r="B25" s="53" t="s">
        <v>343</v>
      </c>
      <c r="C25" s="15" t="s">
        <v>1520</v>
      </c>
      <c r="D25" s="69" t="s">
        <v>1602</v>
      </c>
      <c r="E25" s="23" t="s">
        <v>647</v>
      </c>
      <c r="F25" s="23">
        <v>10300</v>
      </c>
      <c r="G25" s="43"/>
      <c r="H25" s="18">
        <f t="shared" si="0"/>
        <v>0</v>
      </c>
      <c r="I25" s="44"/>
      <c r="K25" s="43">
        <f>G25*4%</f>
        <v>0</v>
      </c>
      <c r="L25" s="48">
        <f t="shared" si="1"/>
        <v>0</v>
      </c>
      <c r="M25" s="43"/>
      <c r="N25" s="43"/>
    </row>
    <row r="26" spans="2:14" x14ac:dyDescent="0.25">
      <c r="B26" s="53"/>
      <c r="C26" s="15"/>
      <c r="D26" s="15"/>
      <c r="E26" s="23"/>
      <c r="F26" s="24"/>
      <c r="G26" s="43"/>
      <c r="H26" s="18"/>
      <c r="I26" s="44"/>
      <c r="K26" s="43"/>
      <c r="L26" s="48" t="str">
        <f t="shared" si="1"/>
        <v/>
      </c>
      <c r="M26" s="43"/>
      <c r="N26" s="43"/>
    </row>
    <row r="27" spans="2:14" x14ac:dyDescent="0.25">
      <c r="B27" s="53"/>
      <c r="C27" s="15"/>
      <c r="D27" s="15"/>
      <c r="E27" s="23"/>
      <c r="F27" s="24"/>
      <c r="G27" s="41"/>
      <c r="H27" s="18"/>
      <c r="I27" s="45"/>
      <c r="K27" s="41"/>
      <c r="L27" s="48" t="str">
        <f t="shared" si="1"/>
        <v/>
      </c>
      <c r="M27" s="41"/>
      <c r="N27" s="41"/>
    </row>
    <row r="28" spans="2:14" x14ac:dyDescent="0.25">
      <c r="B28" s="53"/>
      <c r="C28" s="15"/>
      <c r="D28" s="15"/>
      <c r="E28" s="23"/>
      <c r="F28" s="24"/>
      <c r="G28" s="41"/>
      <c r="H28" s="18"/>
      <c r="I28" s="45"/>
      <c r="K28" s="41"/>
      <c r="L28" s="48" t="str">
        <f t="shared" si="1"/>
        <v/>
      </c>
      <c r="M28" s="41"/>
      <c r="N28" s="41"/>
    </row>
    <row r="29" spans="2:14" x14ac:dyDescent="0.25">
      <c r="B29" s="53"/>
      <c r="C29" s="15"/>
      <c r="D29" s="15"/>
      <c r="E29" s="23"/>
      <c r="F29" s="27"/>
      <c r="G29" s="30"/>
      <c r="H29" s="18"/>
      <c r="I29" s="19"/>
      <c r="K29" s="30"/>
      <c r="L29" s="48" t="str">
        <f t="shared" si="1"/>
        <v/>
      </c>
      <c r="M29" s="30"/>
      <c r="N29" s="30"/>
    </row>
    <row r="30" spans="2:14" x14ac:dyDescent="0.25">
      <c r="B30" s="53"/>
      <c r="C30" s="15"/>
      <c r="D30" s="15"/>
      <c r="E30" s="23"/>
      <c r="F30" s="27"/>
      <c r="G30" s="30"/>
      <c r="H30" s="18"/>
      <c r="I30" s="19"/>
      <c r="K30" s="30"/>
      <c r="L30" s="48" t="str">
        <f t="shared" si="1"/>
        <v/>
      </c>
      <c r="M30" s="30"/>
      <c r="N30" s="30"/>
    </row>
    <row r="31" spans="2:14" s="39" customFormat="1" x14ac:dyDescent="0.25">
      <c r="B31" s="53"/>
      <c r="C31" s="15"/>
      <c r="D31" s="15"/>
      <c r="E31" s="23"/>
      <c r="F31" s="27"/>
      <c r="G31" s="30"/>
      <c r="H31" s="18"/>
      <c r="I31" s="19"/>
      <c r="K31" s="30"/>
      <c r="L31" s="48" t="str">
        <f t="shared" si="1"/>
        <v/>
      </c>
      <c r="M31" s="30"/>
      <c r="N31" s="30"/>
    </row>
    <row r="32" spans="2:14" s="39" customFormat="1" x14ac:dyDescent="0.25">
      <c r="B32" s="53"/>
      <c r="C32" s="15"/>
      <c r="D32" s="15"/>
      <c r="E32" s="23"/>
      <c r="F32" s="27"/>
      <c r="G32" s="30"/>
      <c r="H32" s="18"/>
      <c r="I32" s="19"/>
      <c r="K32" s="30"/>
      <c r="L32" s="48" t="str">
        <f t="shared" si="1"/>
        <v/>
      </c>
      <c r="M32" s="30"/>
      <c r="N32" s="30"/>
    </row>
    <row r="33" spans="2:14" x14ac:dyDescent="0.25">
      <c r="B33" s="53"/>
      <c r="C33" s="15"/>
      <c r="D33" s="15"/>
      <c r="E33" s="23"/>
      <c r="F33" s="24"/>
      <c r="G33" s="41"/>
      <c r="H33" s="18"/>
      <c r="I33" s="45"/>
      <c r="K33" s="41"/>
      <c r="L33" s="48" t="str">
        <f t="shared" si="1"/>
        <v/>
      </c>
      <c r="M33" s="41"/>
      <c r="N33" s="41"/>
    </row>
    <row r="34" spans="2:14" x14ac:dyDescent="0.25">
      <c r="B34" s="53"/>
      <c r="C34" s="15"/>
      <c r="D34" s="15"/>
      <c r="E34" s="23"/>
      <c r="F34" s="24"/>
      <c r="G34" s="41"/>
      <c r="H34" s="18"/>
      <c r="I34" s="45"/>
      <c r="K34" s="41"/>
      <c r="L34" s="48" t="str">
        <f t="shared" si="1"/>
        <v/>
      </c>
      <c r="M34" s="41"/>
      <c r="N34" s="41"/>
    </row>
    <row r="35" spans="2:14" x14ac:dyDescent="0.25">
      <c r="B35" s="53"/>
      <c r="C35" s="15"/>
      <c r="D35" s="15"/>
      <c r="E35" s="23"/>
      <c r="F35" s="24"/>
      <c r="G35" s="41"/>
      <c r="H35" s="18"/>
      <c r="I35" s="45"/>
      <c r="K35" s="41"/>
      <c r="L35" s="48" t="str">
        <f t="shared" si="1"/>
        <v/>
      </c>
      <c r="M35" s="41"/>
      <c r="N35" s="41"/>
    </row>
    <row r="36" spans="2:14" x14ac:dyDescent="0.25">
      <c r="B36" s="53"/>
      <c r="C36" s="15"/>
      <c r="D36" s="15"/>
      <c r="E36" s="23"/>
      <c r="F36" s="24"/>
      <c r="G36" s="41"/>
      <c r="H36" s="18"/>
      <c r="I36" s="45"/>
      <c r="K36" s="41"/>
      <c r="L36" s="48" t="str">
        <f t="shared" si="1"/>
        <v/>
      </c>
      <c r="M36" s="41"/>
      <c r="N36" s="41"/>
    </row>
    <row r="37" spans="2:14" x14ac:dyDescent="0.25">
      <c r="B37" s="53"/>
      <c r="C37" s="15"/>
      <c r="D37" s="15"/>
      <c r="E37" s="23"/>
      <c r="F37" s="24"/>
      <c r="G37" s="41"/>
      <c r="H37" s="18"/>
      <c r="I37" s="45"/>
      <c r="K37" s="41"/>
      <c r="L37" s="48" t="str">
        <f t="shared" si="1"/>
        <v/>
      </c>
      <c r="M37" s="41"/>
      <c r="N37" s="41"/>
    </row>
    <row r="38" spans="2:14" x14ac:dyDescent="0.25">
      <c r="B38" s="53"/>
      <c r="C38" s="15"/>
      <c r="D38" s="15"/>
      <c r="E38" s="23"/>
      <c r="F38" s="24"/>
      <c r="G38" s="41"/>
      <c r="H38" s="18"/>
      <c r="I38" s="45"/>
      <c r="K38" s="41"/>
      <c r="L38" s="48" t="str">
        <f t="shared" si="1"/>
        <v/>
      </c>
      <c r="M38" s="41"/>
      <c r="N38" s="41"/>
    </row>
    <row r="39" spans="2:14" x14ac:dyDescent="0.25">
      <c r="B39" s="53"/>
      <c r="C39" s="15"/>
      <c r="D39" s="15"/>
      <c r="E39" s="23"/>
      <c r="F39" s="24"/>
      <c r="G39" s="41"/>
      <c r="H39" s="18"/>
      <c r="I39" s="45"/>
      <c r="K39" s="41"/>
      <c r="L39" s="48" t="str">
        <f t="shared" si="1"/>
        <v/>
      </c>
      <c r="M39" s="41"/>
      <c r="N39" s="41"/>
    </row>
    <row r="40" spans="2:14" s="31" customFormat="1" ht="19.5" customHeight="1" x14ac:dyDescent="0.25">
      <c r="B40" s="151" t="str">
        <f>$B$11</f>
        <v>C5.3</v>
      </c>
      <c r="C40" s="33" t="str">
        <f>"TOTAL CARRIED FORWARD"&amp;IF(H40=H$1," TO SUMMARY (Page C"&amp;Page_A&amp;")","")</f>
        <v>TOTAL CARRIED FORWARD TO SUMMARY (Page C57)</v>
      </c>
      <c r="D40" s="33"/>
      <c r="E40" s="34"/>
      <c r="F40" s="35"/>
      <c r="G40" s="34"/>
      <c r="H40" s="36">
        <f>SUM(H10:H39)</f>
        <v>0</v>
      </c>
      <c r="I40" s="37"/>
      <c r="K40" s="34"/>
      <c r="L40" s="36">
        <f>SUM(L10:L39)</f>
        <v>0</v>
      </c>
      <c r="M40" s="34"/>
      <c r="N40" s="34"/>
    </row>
  </sheetData>
  <mergeCells count="4">
    <mergeCell ref="F2:H2"/>
    <mergeCell ref="B6:G8"/>
    <mergeCell ref="H5:H8"/>
    <mergeCell ref="B5:G5"/>
  </mergeCells>
  <phoneticPr fontId="14" type="noConversion"/>
  <pageMargins left="0.62992125984251968" right="0.43307086614173229" top="0.62992125984251968" bottom="0.55118110236220474" header="0.51181102362204722" footer="0.31496062992125984"/>
  <pageSetup paperSize="9" scale="75"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1DB66-D0A5-48E5-A94C-63FE2DFBAE61}">
  <sheetPr codeName="Sheet14">
    <tabColor rgb="FF92D050"/>
  </sheetPr>
  <dimension ref="B1:N51"/>
  <sheetViews>
    <sheetView view="pageBreakPreview" zoomScaleNormal="125" zoomScaleSheetLayoutView="100" zoomScalePageLayoutView="125" workbookViewId="0">
      <selection activeCell="H19" sqref="H19"/>
    </sheetView>
  </sheetViews>
  <sheetFormatPr defaultColWidth="6.6640625" defaultRowHeight="13.2" x14ac:dyDescent="0.25"/>
  <cols>
    <col min="1" max="1" width="0.6640625" style="1" customWidth="1"/>
    <col min="2" max="2" width="11.5546875" style="83" customWidth="1"/>
    <col min="3" max="3" width="45.5546875" style="57" customWidth="1"/>
    <col min="4" max="4" width="5.44140625" style="57" customWidth="1"/>
    <col min="5" max="5" width="13.5546875" style="4" customWidth="1"/>
    <col min="6" max="6" width="15.5546875" style="4" customWidth="1"/>
    <col min="7" max="7" width="15.5546875" style="1" customWidth="1"/>
    <col min="8" max="8" width="15.5546875" style="5" customWidth="1"/>
    <col min="9" max="9" width="0.6640625" style="5" customWidth="1"/>
    <col min="10" max="10" width="6.6640625" style="1"/>
    <col min="11" max="14" width="15.5546875" style="1" customWidth="1"/>
    <col min="15" max="16384" width="6.6640625" style="1"/>
  </cols>
  <sheetData>
    <row r="1" spans="2:14" x14ac:dyDescent="0.25">
      <c r="H1" s="234">
        <f>MAX(H9:H500)</f>
        <v>0</v>
      </c>
    </row>
    <row r="2" spans="2:14" x14ac:dyDescent="0.25">
      <c r="B2" s="31" t="str">
        <f>Client1</f>
        <v>Province of KwaZulu-Natal</v>
      </c>
      <c r="F2" s="510" t="str">
        <f>"Contract No. "&amp;ContractNo</f>
        <v>Contract No. ZNB02215/00000/00/HOD/INF/23/T</v>
      </c>
      <c r="G2" s="510"/>
      <c r="H2" s="510"/>
      <c r="K2" s="402"/>
      <c r="L2" s="402">
        <f>MAX(L3:L245)</f>
        <v>0</v>
      </c>
      <c r="M2" s="402"/>
      <c r="N2" s="403"/>
    </row>
    <row r="3" spans="2:14" x14ac:dyDescent="0.25">
      <c r="B3" s="97" t="str">
        <f>Client2</f>
        <v>Department of Transport</v>
      </c>
      <c r="K3" s="1" t="s">
        <v>1421</v>
      </c>
      <c r="L3" s="1" t="s">
        <v>1422</v>
      </c>
      <c r="M3" s="1" t="s">
        <v>1423</v>
      </c>
      <c r="N3" s="1" t="s">
        <v>1424</v>
      </c>
    </row>
    <row r="4" spans="2:14" x14ac:dyDescent="0.25">
      <c r="B4" s="86"/>
      <c r="C4" s="99"/>
      <c r="D4" s="99"/>
      <c r="E4" s="85"/>
      <c r="F4" s="85"/>
      <c r="G4" s="86"/>
      <c r="H4" s="98"/>
      <c r="K4" s="86"/>
      <c r="L4" s="86"/>
      <c r="M4" s="86"/>
      <c r="N4" s="86"/>
    </row>
    <row r="5" spans="2:14" x14ac:dyDescent="0.25">
      <c r="B5" s="507" t="s">
        <v>8</v>
      </c>
      <c r="C5" s="508"/>
      <c r="D5" s="508"/>
      <c r="E5" s="508"/>
      <c r="F5" s="508"/>
      <c r="G5" s="508"/>
      <c r="H5" s="504" t="str">
        <f>"CHAPTER "&amp;B11</f>
        <v>CHAPTER C5.4</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05"/>
      <c r="I6" s="9"/>
    </row>
    <row r="7" spans="2:14" ht="12.75" customHeight="1" x14ac:dyDescent="0.25">
      <c r="B7" s="500"/>
      <c r="C7" s="501"/>
      <c r="D7" s="501"/>
      <c r="E7" s="501"/>
      <c r="F7" s="501"/>
      <c r="G7" s="501"/>
      <c r="H7" s="505"/>
      <c r="I7" s="9"/>
    </row>
    <row r="8" spans="2:14" ht="7.5" customHeight="1" x14ac:dyDescent="0.25">
      <c r="B8" s="502"/>
      <c r="C8" s="503"/>
      <c r="D8" s="503"/>
      <c r="E8" s="503"/>
      <c r="F8" s="503"/>
      <c r="G8" s="503"/>
      <c r="H8" s="506"/>
      <c r="I8" s="9"/>
    </row>
    <row r="9" spans="2:14" s="10" customFormat="1" ht="25.2" customHeight="1" x14ac:dyDescent="0.25">
      <c r="B9" s="81" t="s">
        <v>0</v>
      </c>
      <c r="C9" s="12" t="s">
        <v>1</v>
      </c>
      <c r="D9" s="12" t="s">
        <v>1602</v>
      </c>
      <c r="E9" s="12" t="s">
        <v>2</v>
      </c>
      <c r="F9" s="12" t="s">
        <v>3</v>
      </c>
      <c r="G9" s="12" t="s">
        <v>4</v>
      </c>
      <c r="H9" s="12" t="s">
        <v>5</v>
      </c>
      <c r="I9" s="13"/>
      <c r="K9" s="12"/>
      <c r="L9" s="12"/>
      <c r="M9" s="12"/>
      <c r="N9" s="12"/>
    </row>
    <row r="10" spans="2:14" x14ac:dyDescent="0.25">
      <c r="B10" s="53"/>
      <c r="C10" s="15"/>
      <c r="D10" s="15"/>
      <c r="E10" s="16"/>
      <c r="F10" s="16"/>
      <c r="G10" s="17"/>
      <c r="H10" s="18" t="str">
        <f t="shared" ref="H10:H50" si="0">IF(E10="","",F10*G10)</f>
        <v/>
      </c>
      <c r="I10" s="19"/>
      <c r="K10" s="17"/>
      <c r="L10" s="17"/>
      <c r="M10" s="17"/>
      <c r="N10" s="17"/>
    </row>
    <row r="11" spans="2:14" x14ac:dyDescent="0.25">
      <c r="B11" s="80" t="s">
        <v>344</v>
      </c>
      <c r="C11" s="21" t="s">
        <v>345</v>
      </c>
      <c r="D11" s="21"/>
      <c r="E11" s="23"/>
      <c r="F11" s="23"/>
      <c r="G11" s="43"/>
      <c r="H11" s="18" t="str">
        <f t="shared" si="0"/>
        <v/>
      </c>
      <c r="I11" s="44"/>
      <c r="K11" s="43"/>
      <c r="L11" s="43"/>
      <c r="M11" s="43"/>
      <c r="N11" s="43"/>
    </row>
    <row r="12" spans="2:14" x14ac:dyDescent="0.25">
      <c r="B12" s="53"/>
      <c r="C12" s="15"/>
      <c r="D12" s="15"/>
      <c r="E12" s="23"/>
      <c r="F12" s="23"/>
      <c r="G12" s="43"/>
      <c r="H12" s="18" t="str">
        <f t="shared" si="0"/>
        <v/>
      </c>
      <c r="I12" s="44"/>
      <c r="K12" s="43"/>
      <c r="L12" s="43"/>
      <c r="M12" s="43"/>
      <c r="N12" s="43"/>
    </row>
    <row r="13" spans="2:14" x14ac:dyDescent="0.25">
      <c r="B13" s="53" t="s">
        <v>346</v>
      </c>
      <c r="C13" s="15" t="s">
        <v>347</v>
      </c>
      <c r="D13" s="15"/>
      <c r="E13" s="23"/>
      <c r="F13" s="24"/>
      <c r="G13" s="25"/>
      <c r="H13" s="18" t="str">
        <f t="shared" si="0"/>
        <v/>
      </c>
      <c r="I13" s="45"/>
      <c r="K13" s="25"/>
      <c r="L13" s="48" t="str">
        <f t="shared" ref="L13:L50" si="1">IF(K13="","",K13*F13)</f>
        <v/>
      </c>
      <c r="M13" s="25"/>
      <c r="N13" s="25"/>
    </row>
    <row r="14" spans="2:14" x14ac:dyDescent="0.25">
      <c r="B14" s="53"/>
      <c r="C14" s="15"/>
      <c r="D14" s="15"/>
      <c r="E14" s="23"/>
      <c r="F14" s="24"/>
      <c r="G14" s="43"/>
      <c r="H14" s="18" t="str">
        <f t="shared" si="0"/>
        <v/>
      </c>
      <c r="I14" s="44"/>
      <c r="K14" s="43"/>
      <c r="L14" s="48" t="str">
        <f t="shared" si="1"/>
        <v/>
      </c>
      <c r="M14" s="43"/>
      <c r="N14" s="43"/>
    </row>
    <row r="15" spans="2:14" ht="39.6" x14ac:dyDescent="0.25">
      <c r="B15" s="53" t="s">
        <v>348</v>
      </c>
      <c r="C15" s="15" t="s">
        <v>1169</v>
      </c>
      <c r="D15" s="69" t="s">
        <v>1602</v>
      </c>
      <c r="E15" s="23" t="s">
        <v>34</v>
      </c>
      <c r="F15" s="24">
        <v>14212</v>
      </c>
      <c r="G15" s="17"/>
      <c r="H15" s="18">
        <f t="shared" si="0"/>
        <v>0</v>
      </c>
      <c r="I15" s="44"/>
      <c r="K15" s="43">
        <f>G15*4%</f>
        <v>0</v>
      </c>
      <c r="L15" s="48">
        <f t="shared" si="1"/>
        <v>0</v>
      </c>
      <c r="M15" s="43"/>
      <c r="N15" s="43"/>
    </row>
    <row r="16" spans="2:14" x14ac:dyDescent="0.25">
      <c r="B16" s="53"/>
      <c r="C16" s="15"/>
      <c r="D16" s="15"/>
      <c r="E16" s="23"/>
      <c r="F16" s="24"/>
      <c r="G16" s="43"/>
      <c r="H16" s="18" t="str">
        <f t="shared" si="0"/>
        <v/>
      </c>
      <c r="I16" s="44"/>
      <c r="K16" s="43"/>
      <c r="L16" s="48" t="str">
        <f t="shared" si="1"/>
        <v/>
      </c>
      <c r="M16" s="43"/>
      <c r="N16" s="43"/>
    </row>
    <row r="17" spans="2:14" x14ac:dyDescent="0.25">
      <c r="B17" s="53" t="s">
        <v>349</v>
      </c>
      <c r="C17" s="15" t="s">
        <v>350</v>
      </c>
      <c r="D17" s="15"/>
      <c r="E17" s="23"/>
      <c r="F17" s="24"/>
      <c r="G17" s="43"/>
      <c r="H17" s="18" t="str">
        <f t="shared" si="0"/>
        <v/>
      </c>
      <c r="K17" s="43"/>
      <c r="L17" s="48" t="str">
        <f t="shared" si="1"/>
        <v/>
      </c>
      <c r="M17" s="43"/>
      <c r="N17" s="43"/>
    </row>
    <row r="18" spans="2:14" x14ac:dyDescent="0.25">
      <c r="B18" s="53"/>
      <c r="C18" s="15"/>
      <c r="D18" s="15"/>
      <c r="E18" s="23"/>
      <c r="F18" s="24"/>
      <c r="G18" s="43"/>
      <c r="H18" s="18" t="str">
        <f t="shared" si="0"/>
        <v/>
      </c>
      <c r="I18" s="44"/>
      <c r="K18" s="43"/>
      <c r="L18" s="48" t="str">
        <f t="shared" si="1"/>
        <v/>
      </c>
      <c r="M18" s="43"/>
      <c r="N18" s="43"/>
    </row>
    <row r="19" spans="2:14" ht="26.4" x14ac:dyDescent="0.25">
      <c r="B19" s="53" t="s">
        <v>351</v>
      </c>
      <c r="C19" s="15" t="s">
        <v>352</v>
      </c>
      <c r="D19" s="15"/>
      <c r="E19" s="23"/>
      <c r="F19" s="24"/>
      <c r="G19" s="43"/>
      <c r="H19" s="18" t="str">
        <f t="shared" si="0"/>
        <v/>
      </c>
      <c r="I19" s="44"/>
      <c r="K19" s="43"/>
      <c r="L19" s="48" t="str">
        <f t="shared" si="1"/>
        <v/>
      </c>
      <c r="M19" s="43"/>
      <c r="N19" s="43"/>
    </row>
    <row r="20" spans="2:14" x14ac:dyDescent="0.25">
      <c r="B20" s="53"/>
      <c r="C20" s="15"/>
      <c r="D20" s="15"/>
      <c r="E20" s="23"/>
      <c r="F20" s="24"/>
      <c r="G20" s="43"/>
      <c r="H20" s="18" t="str">
        <f t="shared" si="0"/>
        <v/>
      </c>
      <c r="I20" s="45"/>
      <c r="K20" s="43"/>
      <c r="L20" s="48" t="str">
        <f t="shared" si="1"/>
        <v/>
      </c>
      <c r="M20" s="43"/>
      <c r="N20" s="43"/>
    </row>
    <row r="21" spans="2:14" x14ac:dyDescent="0.25">
      <c r="B21" s="53" t="s">
        <v>49</v>
      </c>
      <c r="C21" s="15" t="s">
        <v>353</v>
      </c>
      <c r="D21" s="15"/>
      <c r="E21" s="23" t="s">
        <v>7</v>
      </c>
      <c r="F21" s="27">
        <v>5</v>
      </c>
      <c r="G21" s="43"/>
      <c r="H21" s="18">
        <f t="shared" si="0"/>
        <v>0</v>
      </c>
      <c r="I21" s="19"/>
      <c r="K21" s="43"/>
      <c r="L21" s="48" t="str">
        <f t="shared" si="1"/>
        <v/>
      </c>
      <c r="M21" s="43"/>
      <c r="N21" s="43"/>
    </row>
    <row r="22" spans="2:14" x14ac:dyDescent="0.25">
      <c r="B22" s="53"/>
      <c r="C22" s="15"/>
      <c r="D22" s="15"/>
      <c r="E22" s="23"/>
      <c r="F22" s="24"/>
      <c r="G22" s="43"/>
      <c r="H22" s="18" t="str">
        <f t="shared" si="0"/>
        <v/>
      </c>
      <c r="I22" s="45"/>
      <c r="K22" s="43"/>
      <c r="L22" s="48" t="str">
        <f t="shared" si="1"/>
        <v/>
      </c>
      <c r="M22" s="43"/>
      <c r="N22" s="43"/>
    </row>
    <row r="23" spans="2:14" ht="52.8" x14ac:dyDescent="0.25">
      <c r="B23" s="53" t="s">
        <v>354</v>
      </c>
      <c r="C23" s="15" t="s">
        <v>355</v>
      </c>
      <c r="D23" s="15"/>
      <c r="E23" s="23"/>
      <c r="F23" s="24"/>
      <c r="G23" s="43"/>
      <c r="H23" s="18" t="str">
        <f t="shared" si="0"/>
        <v/>
      </c>
      <c r="I23" s="44"/>
      <c r="K23" s="43"/>
      <c r="L23" s="48" t="str">
        <f t="shared" si="1"/>
        <v/>
      </c>
      <c r="M23" s="43"/>
      <c r="N23" s="43"/>
    </row>
    <row r="24" spans="2:14" x14ac:dyDescent="0.25">
      <c r="B24" s="53"/>
      <c r="C24" s="15"/>
      <c r="D24" s="15"/>
      <c r="E24" s="23"/>
      <c r="F24" s="24"/>
      <c r="G24" s="43"/>
      <c r="H24" s="18" t="str">
        <f t="shared" si="0"/>
        <v/>
      </c>
      <c r="I24" s="44"/>
      <c r="K24" s="43"/>
      <c r="L24" s="48" t="str">
        <f t="shared" si="1"/>
        <v/>
      </c>
      <c r="M24" s="43"/>
      <c r="N24" s="43"/>
    </row>
    <row r="25" spans="2:14" x14ac:dyDescent="0.25">
      <c r="B25" s="53" t="s">
        <v>49</v>
      </c>
      <c r="C25" s="15" t="s">
        <v>353</v>
      </c>
      <c r="D25" s="69" t="s">
        <v>1602</v>
      </c>
      <c r="E25" s="23" t="s">
        <v>7</v>
      </c>
      <c r="F25" s="24">
        <v>959</v>
      </c>
      <c r="G25" s="43"/>
      <c r="H25" s="18">
        <f t="shared" si="0"/>
        <v>0</v>
      </c>
      <c r="I25" s="44"/>
      <c r="K25" s="43">
        <f>G25*3%</f>
        <v>0</v>
      </c>
      <c r="L25" s="48">
        <f t="shared" si="1"/>
        <v>0</v>
      </c>
      <c r="M25" s="43"/>
      <c r="N25" s="43"/>
    </row>
    <row r="26" spans="2:14" x14ac:dyDescent="0.25">
      <c r="B26" s="53"/>
      <c r="C26" s="15"/>
      <c r="D26" s="15"/>
      <c r="E26" s="23"/>
      <c r="F26" s="24"/>
      <c r="G26" s="43"/>
      <c r="H26" s="18" t="str">
        <f t="shared" si="0"/>
        <v/>
      </c>
      <c r="I26" s="44"/>
      <c r="K26" s="43"/>
      <c r="L26" s="48" t="str">
        <f t="shared" si="1"/>
        <v/>
      </c>
      <c r="M26" s="43"/>
      <c r="N26" s="43"/>
    </row>
    <row r="27" spans="2:14" x14ac:dyDescent="0.25">
      <c r="B27" s="53" t="s">
        <v>357</v>
      </c>
      <c r="C27" s="15" t="s">
        <v>358</v>
      </c>
      <c r="D27" s="15"/>
      <c r="E27" s="23" t="s">
        <v>602</v>
      </c>
      <c r="F27" s="23">
        <v>600</v>
      </c>
      <c r="G27" s="43"/>
      <c r="H27" s="18">
        <f t="shared" si="0"/>
        <v>0</v>
      </c>
      <c r="I27" s="44"/>
      <c r="K27" s="43"/>
      <c r="L27" s="48" t="str">
        <f t="shared" si="1"/>
        <v/>
      </c>
      <c r="M27" s="43"/>
      <c r="N27" s="43"/>
    </row>
    <row r="28" spans="2:14" x14ac:dyDescent="0.25">
      <c r="B28" s="53"/>
      <c r="C28" s="29"/>
      <c r="D28" s="147"/>
      <c r="E28" s="23"/>
      <c r="F28" s="23"/>
      <c r="G28" s="43"/>
      <c r="H28" s="18" t="str">
        <f t="shared" si="0"/>
        <v/>
      </c>
      <c r="I28" s="44"/>
      <c r="K28" s="43"/>
      <c r="L28" s="48" t="str">
        <f t="shared" si="1"/>
        <v/>
      </c>
      <c r="M28" s="43"/>
      <c r="N28" s="43"/>
    </row>
    <row r="29" spans="2:14" ht="15.6" x14ac:dyDescent="0.25">
      <c r="B29" s="53" t="s">
        <v>359</v>
      </c>
      <c r="C29" s="29" t="s">
        <v>360</v>
      </c>
      <c r="D29" s="147"/>
      <c r="E29" s="23" t="s">
        <v>80</v>
      </c>
      <c r="F29" s="23">
        <v>9700</v>
      </c>
      <c r="G29" s="43"/>
      <c r="H29" s="18">
        <f t="shared" si="0"/>
        <v>0</v>
      </c>
      <c r="I29" s="44"/>
      <c r="K29" s="43"/>
      <c r="L29" s="48" t="str">
        <f t="shared" si="1"/>
        <v/>
      </c>
      <c r="M29" s="43"/>
      <c r="N29" s="43"/>
    </row>
    <row r="30" spans="2:14" x14ac:dyDescent="0.25">
      <c r="B30" s="53"/>
      <c r="C30" s="15"/>
      <c r="D30" s="15"/>
      <c r="E30" s="23"/>
      <c r="F30" s="23"/>
      <c r="G30" s="43"/>
      <c r="H30" s="18" t="str">
        <f t="shared" si="0"/>
        <v/>
      </c>
      <c r="I30" s="44"/>
      <c r="K30" s="43"/>
      <c r="L30" s="48" t="str">
        <f t="shared" si="1"/>
        <v/>
      </c>
      <c r="M30" s="43"/>
      <c r="N30" s="43"/>
    </row>
    <row r="31" spans="2:14" ht="15.6" x14ac:dyDescent="0.25">
      <c r="B31" s="53" t="s">
        <v>361</v>
      </c>
      <c r="C31" s="15" t="s">
        <v>362</v>
      </c>
      <c r="D31" s="15"/>
      <c r="E31" s="23" t="s">
        <v>34</v>
      </c>
      <c r="F31" s="23">
        <v>1200</v>
      </c>
      <c r="G31" s="43"/>
      <c r="H31" s="18">
        <f t="shared" si="0"/>
        <v>0</v>
      </c>
      <c r="I31" s="44"/>
      <c r="K31" s="43">
        <f>G31*3%</f>
        <v>0</v>
      </c>
      <c r="L31" s="48">
        <f t="shared" si="1"/>
        <v>0</v>
      </c>
      <c r="M31" s="43"/>
      <c r="N31" s="43"/>
    </row>
    <row r="32" spans="2:14" x14ac:dyDescent="0.25">
      <c r="B32" s="53"/>
      <c r="C32" s="15"/>
      <c r="D32" s="15"/>
      <c r="E32" s="23"/>
      <c r="F32" s="23"/>
      <c r="G32" s="43"/>
      <c r="H32" s="18" t="str">
        <f t="shared" si="0"/>
        <v/>
      </c>
      <c r="I32" s="44"/>
      <c r="K32" s="43"/>
      <c r="L32" s="48" t="str">
        <f t="shared" si="1"/>
        <v/>
      </c>
      <c r="M32" s="43"/>
      <c r="N32" s="43"/>
    </row>
    <row r="33" spans="2:14" ht="15.6" x14ac:dyDescent="0.25">
      <c r="B33" s="53" t="s">
        <v>363</v>
      </c>
      <c r="C33" s="29" t="s">
        <v>364</v>
      </c>
      <c r="D33" s="69" t="s">
        <v>1602</v>
      </c>
      <c r="E33" s="23" t="s">
        <v>34</v>
      </c>
      <c r="F33" s="23">
        <v>11099</v>
      </c>
      <c r="G33" s="43"/>
      <c r="H33" s="18">
        <f t="shared" si="0"/>
        <v>0</v>
      </c>
      <c r="I33" s="44"/>
      <c r="K33" s="43">
        <f>G33*3%</f>
        <v>0</v>
      </c>
      <c r="L33" s="48">
        <f t="shared" si="1"/>
        <v>0</v>
      </c>
      <c r="M33" s="43"/>
      <c r="N33" s="43"/>
    </row>
    <row r="34" spans="2:14" x14ac:dyDescent="0.25">
      <c r="B34" s="53"/>
      <c r="C34" s="15"/>
      <c r="D34" s="15"/>
      <c r="E34" s="23"/>
      <c r="F34" s="23"/>
      <c r="G34" s="43"/>
      <c r="H34" s="18" t="str">
        <f t="shared" si="0"/>
        <v/>
      </c>
      <c r="I34" s="44"/>
      <c r="K34" s="43"/>
      <c r="L34" s="48" t="str">
        <f t="shared" si="1"/>
        <v/>
      </c>
      <c r="M34" s="43"/>
      <c r="N34" s="43"/>
    </row>
    <row r="35" spans="2:14" x14ac:dyDescent="0.25">
      <c r="B35" s="53"/>
      <c r="C35" s="15"/>
      <c r="D35" s="15"/>
      <c r="E35" s="23"/>
      <c r="F35" s="23"/>
      <c r="G35" s="43"/>
      <c r="H35" s="18" t="str">
        <f t="shared" si="0"/>
        <v/>
      </c>
      <c r="I35" s="44"/>
      <c r="K35" s="43"/>
      <c r="L35" s="48" t="str">
        <f t="shared" si="1"/>
        <v/>
      </c>
      <c r="M35" s="43"/>
      <c r="N35" s="43"/>
    </row>
    <row r="36" spans="2:14" x14ac:dyDescent="0.25">
      <c r="B36" s="53"/>
      <c r="C36" s="15"/>
      <c r="D36" s="15"/>
      <c r="E36" s="23"/>
      <c r="F36" s="23"/>
      <c r="G36" s="43"/>
      <c r="H36" s="18" t="str">
        <f t="shared" si="0"/>
        <v/>
      </c>
      <c r="I36" s="44"/>
      <c r="K36" s="43"/>
      <c r="L36" s="48" t="str">
        <f t="shared" si="1"/>
        <v/>
      </c>
      <c r="M36" s="43"/>
      <c r="N36" s="43"/>
    </row>
    <row r="37" spans="2:14" x14ac:dyDescent="0.25">
      <c r="B37" s="53"/>
      <c r="C37" s="15"/>
      <c r="D37" s="15"/>
      <c r="E37" s="23"/>
      <c r="F37" s="23"/>
      <c r="G37" s="43"/>
      <c r="H37" s="18" t="str">
        <f t="shared" si="0"/>
        <v/>
      </c>
      <c r="I37" s="44"/>
      <c r="K37" s="43"/>
      <c r="L37" s="48" t="str">
        <f t="shared" si="1"/>
        <v/>
      </c>
      <c r="M37" s="43"/>
      <c r="N37" s="43"/>
    </row>
    <row r="38" spans="2:14" x14ac:dyDescent="0.25">
      <c r="B38" s="89"/>
      <c r="C38" s="15"/>
      <c r="D38" s="15"/>
      <c r="E38" s="23"/>
      <c r="F38" s="23"/>
      <c r="G38" s="43"/>
      <c r="H38" s="18" t="str">
        <f t="shared" si="0"/>
        <v/>
      </c>
      <c r="I38" s="44"/>
      <c r="K38" s="43"/>
      <c r="L38" s="48" t="str">
        <f t="shared" si="1"/>
        <v/>
      </c>
      <c r="M38" s="43"/>
      <c r="N38" s="43"/>
    </row>
    <row r="39" spans="2:14" x14ac:dyDescent="0.25">
      <c r="B39" s="53"/>
      <c r="C39" s="15"/>
      <c r="D39" s="15"/>
      <c r="E39" s="23"/>
      <c r="F39" s="23"/>
      <c r="G39" s="43"/>
      <c r="H39" s="18" t="str">
        <f t="shared" si="0"/>
        <v/>
      </c>
      <c r="I39" s="44"/>
      <c r="K39" s="43"/>
      <c r="L39" s="48" t="str">
        <f t="shared" si="1"/>
        <v/>
      </c>
      <c r="M39" s="43"/>
      <c r="N39" s="43"/>
    </row>
    <row r="40" spans="2:14" x14ac:dyDescent="0.25">
      <c r="B40" s="53"/>
      <c r="C40" s="15"/>
      <c r="D40" s="15"/>
      <c r="E40" s="23"/>
      <c r="F40" s="23"/>
      <c r="G40" s="43"/>
      <c r="H40" s="18" t="str">
        <f t="shared" si="0"/>
        <v/>
      </c>
      <c r="I40" s="44"/>
      <c r="K40" s="43"/>
      <c r="L40" s="48" t="str">
        <f t="shared" si="1"/>
        <v/>
      </c>
      <c r="M40" s="43"/>
      <c r="N40" s="43"/>
    </row>
    <row r="41" spans="2:14" x14ac:dyDescent="0.25">
      <c r="B41" s="53"/>
      <c r="C41" s="15"/>
      <c r="D41" s="15"/>
      <c r="E41" s="23"/>
      <c r="F41" s="23"/>
      <c r="G41" s="43"/>
      <c r="H41" s="18" t="str">
        <f t="shared" si="0"/>
        <v/>
      </c>
      <c r="I41" s="44"/>
      <c r="K41" s="43"/>
      <c r="L41" s="48" t="str">
        <f t="shared" si="1"/>
        <v/>
      </c>
      <c r="M41" s="43"/>
      <c r="N41" s="43"/>
    </row>
    <row r="42" spans="2:14" x14ac:dyDescent="0.25">
      <c r="B42" s="53"/>
      <c r="C42" s="15"/>
      <c r="D42" s="15"/>
      <c r="E42" s="23"/>
      <c r="F42" s="23"/>
      <c r="G42" s="43"/>
      <c r="H42" s="18" t="str">
        <f t="shared" si="0"/>
        <v/>
      </c>
      <c r="I42" s="44"/>
      <c r="K42" s="43"/>
      <c r="L42" s="48" t="str">
        <f t="shared" si="1"/>
        <v/>
      </c>
      <c r="M42" s="43"/>
      <c r="N42" s="43"/>
    </row>
    <row r="43" spans="2:14" x14ac:dyDescent="0.25">
      <c r="B43" s="53"/>
      <c r="C43" s="15"/>
      <c r="D43" s="15"/>
      <c r="E43" s="23"/>
      <c r="F43" s="23"/>
      <c r="G43" s="43"/>
      <c r="H43" s="18" t="str">
        <f t="shared" si="0"/>
        <v/>
      </c>
      <c r="I43" s="44"/>
      <c r="K43" s="43"/>
      <c r="L43" s="48" t="str">
        <f t="shared" si="1"/>
        <v/>
      </c>
      <c r="M43" s="43"/>
      <c r="N43" s="43"/>
    </row>
    <row r="44" spans="2:14" x14ac:dyDescent="0.25">
      <c r="B44" s="53"/>
      <c r="C44" s="15"/>
      <c r="D44" s="15"/>
      <c r="E44" s="23"/>
      <c r="F44" s="23"/>
      <c r="G44" s="43"/>
      <c r="H44" s="18" t="str">
        <f t="shared" si="0"/>
        <v/>
      </c>
      <c r="I44" s="44"/>
      <c r="K44" s="43"/>
      <c r="L44" s="48" t="str">
        <f t="shared" si="1"/>
        <v/>
      </c>
      <c r="M44" s="43"/>
      <c r="N44" s="43"/>
    </row>
    <row r="45" spans="2:14" x14ac:dyDescent="0.25">
      <c r="B45" s="53"/>
      <c r="C45" s="15"/>
      <c r="D45" s="15"/>
      <c r="E45" s="23"/>
      <c r="F45" s="23"/>
      <c r="G45" s="43"/>
      <c r="H45" s="18" t="str">
        <f t="shared" si="0"/>
        <v/>
      </c>
      <c r="I45" s="44"/>
      <c r="K45" s="43"/>
      <c r="L45" s="48" t="str">
        <f t="shared" si="1"/>
        <v/>
      </c>
      <c r="M45" s="43"/>
      <c r="N45" s="43"/>
    </row>
    <row r="46" spans="2:14" x14ac:dyDescent="0.25">
      <c r="B46" s="53"/>
      <c r="C46" s="15"/>
      <c r="D46" s="15"/>
      <c r="E46" s="23"/>
      <c r="F46" s="23"/>
      <c r="G46" s="43"/>
      <c r="H46" s="18" t="str">
        <f t="shared" si="0"/>
        <v/>
      </c>
      <c r="I46" s="44"/>
      <c r="K46" s="43"/>
      <c r="L46" s="48" t="str">
        <f t="shared" si="1"/>
        <v/>
      </c>
      <c r="M46" s="43"/>
      <c r="N46" s="43"/>
    </row>
    <row r="47" spans="2:14" x14ac:dyDescent="0.25">
      <c r="B47" s="53"/>
      <c r="C47" s="15"/>
      <c r="D47" s="15"/>
      <c r="E47" s="23"/>
      <c r="F47" s="40"/>
      <c r="G47" s="43"/>
      <c r="H47" s="18" t="str">
        <f t="shared" si="0"/>
        <v/>
      </c>
      <c r="K47" s="43"/>
      <c r="L47" s="48" t="str">
        <f t="shared" si="1"/>
        <v/>
      </c>
      <c r="M47" s="43"/>
      <c r="N47" s="43"/>
    </row>
    <row r="48" spans="2:14" x14ac:dyDescent="0.25">
      <c r="B48" s="53"/>
      <c r="C48" s="15"/>
      <c r="D48" s="15"/>
      <c r="E48" s="23"/>
      <c r="F48" s="40"/>
      <c r="G48" s="43"/>
      <c r="H48" s="18" t="str">
        <f t="shared" si="0"/>
        <v/>
      </c>
      <c r="K48" s="43"/>
      <c r="L48" s="48" t="str">
        <f t="shared" si="1"/>
        <v/>
      </c>
      <c r="M48" s="43"/>
      <c r="N48" s="43"/>
    </row>
    <row r="49" spans="2:14" x14ac:dyDescent="0.25">
      <c r="B49" s="53"/>
      <c r="C49" s="15"/>
      <c r="D49" s="15"/>
      <c r="E49" s="23"/>
      <c r="F49" s="23"/>
      <c r="G49" s="43"/>
      <c r="H49" s="18" t="str">
        <f t="shared" si="0"/>
        <v/>
      </c>
      <c r="I49" s="44"/>
      <c r="K49" s="43"/>
      <c r="L49" s="48" t="str">
        <f t="shared" si="1"/>
        <v/>
      </c>
      <c r="M49" s="43"/>
      <c r="N49" s="43"/>
    </row>
    <row r="50" spans="2:14" x14ac:dyDescent="0.25">
      <c r="B50" s="53"/>
      <c r="C50" s="29"/>
      <c r="D50" s="147"/>
      <c r="E50" s="40"/>
      <c r="F50" s="40"/>
      <c r="G50" s="43"/>
      <c r="H50" s="18" t="str">
        <f t="shared" si="0"/>
        <v/>
      </c>
      <c r="I50" s="52"/>
      <c r="K50" s="43"/>
      <c r="L50" s="48" t="str">
        <f t="shared" si="1"/>
        <v/>
      </c>
      <c r="M50" s="43"/>
      <c r="N50" s="43"/>
    </row>
    <row r="51" spans="2:14" s="31" customFormat="1" ht="19.5" customHeight="1" x14ac:dyDescent="0.25">
      <c r="B51" s="151" t="str">
        <f>$B$11</f>
        <v>C5.4</v>
      </c>
      <c r="C51" s="33" t="str">
        <f>"TOTAL CARRIED FORWARD"&amp;IF(H51=H$1," TO SUMMARY (Page C"&amp;Page_A&amp;")","")</f>
        <v>TOTAL CARRIED FORWARD TO SUMMARY (Page C57)</v>
      </c>
      <c r="D51" s="33"/>
      <c r="E51" s="34"/>
      <c r="F51" s="35"/>
      <c r="G51" s="34"/>
      <c r="H51" s="36">
        <f>SUM(H10:H50)</f>
        <v>0</v>
      </c>
      <c r="I51" s="37"/>
      <c r="K51" s="34"/>
      <c r="L51" s="36">
        <f>SUM(L10:L50)</f>
        <v>0</v>
      </c>
      <c r="M51" s="34"/>
      <c r="N51" s="34"/>
    </row>
  </sheetData>
  <mergeCells count="4">
    <mergeCell ref="F2:H2"/>
    <mergeCell ref="B6:G8"/>
    <mergeCell ref="H5:H8"/>
    <mergeCell ref="B5:G5"/>
  </mergeCells>
  <phoneticPr fontId="14" type="noConversion"/>
  <pageMargins left="0.62992125984251968" right="0.43307086614173229" top="0.62992125984251968" bottom="0.55118110236220474" header="0.51181102362204722" footer="0.31496062992125984"/>
  <pageSetup paperSize="9" scale="71"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16E6-34D4-4A1D-B9BA-877796141B5E}">
  <sheetPr codeName="Sheet16">
    <tabColor rgb="FF92D050"/>
  </sheetPr>
  <dimension ref="B1:N64"/>
  <sheetViews>
    <sheetView view="pageBreakPreview" zoomScaleNormal="125" zoomScaleSheetLayoutView="100" zoomScalePageLayoutView="125" workbookViewId="0">
      <selection activeCell="G30" sqref="G30"/>
    </sheetView>
  </sheetViews>
  <sheetFormatPr defaultColWidth="6.6640625" defaultRowHeight="13.2" x14ac:dyDescent="0.25"/>
  <cols>
    <col min="1" max="1" width="0.6640625" style="1" customWidth="1"/>
    <col min="2" max="2" width="11.5546875" style="38" customWidth="1"/>
    <col min="3" max="3" width="45.5546875" style="3" customWidth="1"/>
    <col min="4" max="4" width="6.554687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1" width="6.6640625" style="1"/>
    <col min="12" max="12" width="10.6640625" style="1" bestFit="1" customWidth="1"/>
    <col min="13" max="16384" width="6.6640625" style="1"/>
  </cols>
  <sheetData>
    <row r="1" spans="2:14" x14ac:dyDescent="0.25">
      <c r="H1" s="234">
        <f>MAX(H9:H500)</f>
        <v>0</v>
      </c>
    </row>
    <row r="2" spans="2:14" x14ac:dyDescent="0.25">
      <c r="B2" s="2" t="str">
        <f>Client1</f>
        <v>Province of KwaZulu-Natal</v>
      </c>
      <c r="F2" s="510" t="str">
        <f>"Contract No. "&amp;ContractNo</f>
        <v>Contract No. ZNB02215/00000/00/HOD/INF/23/T</v>
      </c>
      <c r="G2" s="510"/>
      <c r="H2" s="510"/>
      <c r="K2" s="402"/>
      <c r="L2" s="402">
        <f>MAX(L3:L245)</f>
        <v>0</v>
      </c>
      <c r="M2" s="402"/>
      <c r="N2" s="403"/>
    </row>
    <row r="3" spans="2:14" x14ac:dyDescent="0.25">
      <c r="B3" s="96" t="str">
        <f>Client2</f>
        <v>Department of Transport</v>
      </c>
      <c r="K3" s="1" t="s">
        <v>1421</v>
      </c>
      <c r="L3" s="1" t="s">
        <v>1422</v>
      </c>
      <c r="M3" s="1" t="s">
        <v>1423</v>
      </c>
      <c r="N3" s="1" t="s">
        <v>1424</v>
      </c>
    </row>
    <row r="4" spans="2:14" x14ac:dyDescent="0.25">
      <c r="B4" s="84"/>
      <c r="C4" s="84"/>
      <c r="D4" s="84"/>
      <c r="E4" s="85"/>
      <c r="F4" s="85"/>
      <c r="G4" s="86"/>
      <c r="H4" s="98"/>
      <c r="K4" s="86"/>
      <c r="L4" s="86"/>
      <c r="M4" s="86"/>
      <c r="N4" s="86"/>
    </row>
    <row r="5" spans="2:14" x14ac:dyDescent="0.25">
      <c r="B5" s="507" t="s">
        <v>8</v>
      </c>
      <c r="C5" s="508"/>
      <c r="D5" s="508"/>
      <c r="E5" s="508"/>
      <c r="F5" s="508"/>
      <c r="G5" s="508"/>
      <c r="H5" s="519" t="str">
        <f>"CHAPTER "&amp;B11</f>
        <v>CHAPTER C8.1</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20"/>
      <c r="I6" s="9"/>
    </row>
    <row r="7" spans="2:14" ht="12.75" customHeight="1" x14ac:dyDescent="0.25">
      <c r="B7" s="500"/>
      <c r="C7" s="501"/>
      <c r="D7" s="501"/>
      <c r="E7" s="501"/>
      <c r="F7" s="501"/>
      <c r="G7" s="501"/>
      <c r="H7" s="520"/>
      <c r="I7" s="9"/>
    </row>
    <row r="8" spans="2:14" ht="7.5" customHeight="1" x14ac:dyDescent="0.25">
      <c r="B8" s="502"/>
      <c r="C8" s="503"/>
      <c r="D8" s="503"/>
      <c r="E8" s="503"/>
      <c r="F8" s="503"/>
      <c r="G8" s="503"/>
      <c r="H8" s="521"/>
      <c r="I8" s="9"/>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53"/>
      <c r="C10" s="15"/>
      <c r="D10" s="15"/>
      <c r="E10" s="16"/>
      <c r="F10" s="16"/>
      <c r="G10" s="17"/>
      <c r="H10" s="18" t="str">
        <f t="shared" ref="H10:H27" si="0">IF(E10="","",F10*G10)</f>
        <v/>
      </c>
      <c r="I10" s="19"/>
      <c r="K10" s="17"/>
      <c r="L10" s="17"/>
      <c r="M10" s="17"/>
      <c r="N10" s="17"/>
    </row>
    <row r="11" spans="2:14" x14ac:dyDescent="0.25">
      <c r="B11" s="80" t="s">
        <v>368</v>
      </c>
      <c r="C11" s="21" t="s">
        <v>369</v>
      </c>
      <c r="D11" s="21"/>
      <c r="E11" s="23"/>
      <c r="F11" s="23"/>
      <c r="G11" s="43"/>
      <c r="H11" s="18" t="str">
        <f t="shared" si="0"/>
        <v/>
      </c>
      <c r="I11" s="44"/>
      <c r="K11" s="43"/>
      <c r="L11" s="43"/>
      <c r="M11" s="43"/>
      <c r="N11" s="43"/>
    </row>
    <row r="12" spans="2:14" x14ac:dyDescent="0.25">
      <c r="B12" s="53"/>
      <c r="C12" s="15"/>
      <c r="D12" s="15"/>
      <c r="E12" s="23"/>
      <c r="F12" s="23"/>
      <c r="G12" s="43"/>
      <c r="H12" s="18" t="str">
        <f t="shared" si="0"/>
        <v/>
      </c>
      <c r="I12" s="44"/>
      <c r="K12" s="43"/>
      <c r="L12" s="43"/>
      <c r="M12" s="43"/>
      <c r="N12" s="43"/>
    </row>
    <row r="13" spans="2:14" x14ac:dyDescent="0.25">
      <c r="B13" s="53" t="s">
        <v>370</v>
      </c>
      <c r="C13" s="15" t="s">
        <v>371</v>
      </c>
      <c r="D13" s="15"/>
      <c r="E13" s="23"/>
      <c r="F13" s="23"/>
      <c r="G13" s="43"/>
      <c r="H13" s="18" t="str">
        <f t="shared" si="0"/>
        <v/>
      </c>
      <c r="I13" s="44"/>
      <c r="K13" s="25"/>
      <c r="L13" s="48" t="str">
        <f t="shared" ref="L13:L46" si="1">IF(K13="","",K13*F13)</f>
        <v/>
      </c>
      <c r="M13" s="25"/>
      <c r="N13" s="25"/>
    </row>
    <row r="14" spans="2:14" x14ac:dyDescent="0.25">
      <c r="B14" s="53"/>
      <c r="C14" s="15"/>
      <c r="D14" s="15"/>
      <c r="E14" s="23"/>
      <c r="F14" s="24"/>
      <c r="G14" s="25"/>
      <c r="H14" s="18" t="str">
        <f t="shared" si="0"/>
        <v/>
      </c>
      <c r="I14" s="45"/>
      <c r="K14" s="43"/>
      <c r="L14" s="48" t="str">
        <f t="shared" si="1"/>
        <v/>
      </c>
      <c r="M14" s="43"/>
      <c r="N14" s="43"/>
    </row>
    <row r="15" spans="2:14" x14ac:dyDescent="0.25">
      <c r="B15" s="53" t="s">
        <v>372</v>
      </c>
      <c r="C15" s="15" t="s">
        <v>1521</v>
      </c>
      <c r="D15" s="69" t="s">
        <v>1602</v>
      </c>
      <c r="E15" s="23" t="s">
        <v>542</v>
      </c>
      <c r="F15" s="24">
        <v>31500</v>
      </c>
      <c r="G15" s="43"/>
      <c r="H15" s="18">
        <f t="shared" si="0"/>
        <v>0</v>
      </c>
      <c r="I15" s="44"/>
      <c r="K15" s="43">
        <f>G15*4%</f>
        <v>0</v>
      </c>
      <c r="L15" s="48">
        <f t="shared" si="1"/>
        <v>0</v>
      </c>
      <c r="M15" s="43"/>
      <c r="N15" s="43"/>
    </row>
    <row r="16" spans="2:14" x14ac:dyDescent="0.25">
      <c r="B16" s="53"/>
      <c r="C16" s="15"/>
      <c r="D16" s="15"/>
      <c r="E16" s="23"/>
      <c r="F16" s="24"/>
      <c r="G16" s="48"/>
      <c r="H16" s="18" t="str">
        <f t="shared" si="0"/>
        <v/>
      </c>
      <c r="K16" s="43"/>
      <c r="L16" s="48" t="str">
        <f t="shared" si="1"/>
        <v/>
      </c>
      <c r="M16" s="43"/>
      <c r="N16" s="43"/>
    </row>
    <row r="17" spans="2:14" ht="26.4" x14ac:dyDescent="0.25">
      <c r="B17" s="53" t="s">
        <v>373</v>
      </c>
      <c r="C17" s="15" t="s">
        <v>374</v>
      </c>
      <c r="D17" s="69" t="s">
        <v>1602</v>
      </c>
      <c r="E17" s="23" t="s">
        <v>542</v>
      </c>
      <c r="F17" s="24">
        <v>3800</v>
      </c>
      <c r="G17" s="211"/>
      <c r="H17" s="18">
        <f t="shared" si="0"/>
        <v>0</v>
      </c>
      <c r="K17" s="458">
        <f>ROUND(20%*G17,0)</f>
        <v>0</v>
      </c>
      <c r="L17" s="48">
        <f t="shared" si="1"/>
        <v>0</v>
      </c>
      <c r="M17" s="43"/>
      <c r="N17" s="43"/>
    </row>
    <row r="18" spans="2:14" x14ac:dyDescent="0.25">
      <c r="B18" s="53"/>
      <c r="C18" s="15"/>
      <c r="D18" s="15"/>
      <c r="E18" s="23"/>
      <c r="F18" s="24"/>
      <c r="G18" s="48"/>
      <c r="H18" s="18" t="str">
        <f t="shared" si="0"/>
        <v/>
      </c>
      <c r="K18" s="43"/>
      <c r="L18" s="48" t="str">
        <f t="shared" si="1"/>
        <v/>
      </c>
      <c r="M18" s="43"/>
      <c r="N18" s="43"/>
    </row>
    <row r="19" spans="2:14" x14ac:dyDescent="0.25">
      <c r="B19" s="53"/>
      <c r="C19" s="15"/>
      <c r="D19" s="15"/>
      <c r="E19" s="23"/>
      <c r="F19" s="24"/>
      <c r="G19" s="43"/>
      <c r="H19" s="18" t="str">
        <f t="shared" si="0"/>
        <v/>
      </c>
      <c r="I19" s="44"/>
      <c r="K19" s="43"/>
      <c r="L19" s="48" t="str">
        <f t="shared" si="1"/>
        <v/>
      </c>
      <c r="M19" s="43"/>
      <c r="N19" s="43"/>
    </row>
    <row r="20" spans="2:14" x14ac:dyDescent="0.25">
      <c r="B20" s="53"/>
      <c r="C20" s="15"/>
      <c r="D20" s="15"/>
      <c r="E20" s="23"/>
      <c r="F20" s="24"/>
      <c r="G20" s="43"/>
      <c r="H20" s="18" t="str">
        <f t="shared" si="0"/>
        <v/>
      </c>
      <c r="I20" s="44"/>
      <c r="K20" s="43"/>
      <c r="L20" s="48" t="str">
        <f t="shared" si="1"/>
        <v/>
      </c>
      <c r="M20" s="43"/>
      <c r="N20" s="43"/>
    </row>
    <row r="21" spans="2:14" x14ac:dyDescent="0.25">
      <c r="B21" s="53"/>
      <c r="C21" s="15"/>
      <c r="D21" s="15"/>
      <c r="E21" s="23"/>
      <c r="F21" s="24"/>
      <c r="G21" s="41"/>
      <c r="H21" s="18" t="str">
        <f t="shared" si="0"/>
        <v/>
      </c>
      <c r="I21" s="45"/>
      <c r="K21" s="43"/>
      <c r="L21" s="48" t="str">
        <f t="shared" si="1"/>
        <v/>
      </c>
      <c r="M21" s="43"/>
      <c r="N21" s="43"/>
    </row>
    <row r="22" spans="2:14" x14ac:dyDescent="0.25">
      <c r="B22" s="53"/>
      <c r="C22" s="15"/>
      <c r="D22" s="15"/>
      <c r="E22" s="23"/>
      <c r="F22" s="27"/>
      <c r="G22" s="30"/>
      <c r="H22" s="18" t="str">
        <f t="shared" si="0"/>
        <v/>
      </c>
      <c r="I22" s="19"/>
      <c r="K22" s="43"/>
      <c r="L22" s="48" t="str">
        <f t="shared" si="1"/>
        <v/>
      </c>
      <c r="M22" s="43"/>
      <c r="N22" s="43"/>
    </row>
    <row r="23" spans="2:14" s="39" customFormat="1" x14ac:dyDescent="0.25">
      <c r="B23" s="14"/>
      <c r="C23" s="15"/>
      <c r="D23" s="15"/>
      <c r="E23" s="16"/>
      <c r="F23" s="27"/>
      <c r="G23" s="30"/>
      <c r="H23" s="18" t="str">
        <f t="shared" si="0"/>
        <v/>
      </c>
      <c r="I23" s="19"/>
      <c r="K23" s="43"/>
      <c r="L23" s="48" t="str">
        <f t="shared" si="1"/>
        <v/>
      </c>
      <c r="M23" s="43"/>
      <c r="N23" s="43"/>
    </row>
    <row r="24" spans="2:14" x14ac:dyDescent="0.25">
      <c r="B24" s="14"/>
      <c r="C24" s="15"/>
      <c r="D24" s="15"/>
      <c r="E24" s="23"/>
      <c r="F24" s="24"/>
      <c r="G24" s="41"/>
      <c r="H24" s="18" t="str">
        <f t="shared" si="0"/>
        <v/>
      </c>
      <c r="I24" s="45"/>
      <c r="K24" s="43"/>
      <c r="L24" s="48" t="str">
        <f t="shared" si="1"/>
        <v/>
      </c>
      <c r="M24" s="43"/>
      <c r="N24" s="43"/>
    </row>
    <row r="25" spans="2:14" x14ac:dyDescent="0.25">
      <c r="B25" s="14"/>
      <c r="C25" s="15"/>
      <c r="D25" s="15"/>
      <c r="E25" s="23"/>
      <c r="F25" s="24"/>
      <c r="G25" s="41"/>
      <c r="H25" s="18" t="str">
        <f t="shared" si="0"/>
        <v/>
      </c>
      <c r="I25" s="45"/>
      <c r="K25" s="43">
        <f>G25*3%</f>
        <v>0</v>
      </c>
      <c r="L25" s="48">
        <f t="shared" si="1"/>
        <v>0</v>
      </c>
      <c r="M25" s="43"/>
      <c r="N25" s="43"/>
    </row>
    <row r="26" spans="2:14" x14ac:dyDescent="0.25">
      <c r="B26" s="14"/>
      <c r="C26" s="15"/>
      <c r="D26" s="15"/>
      <c r="E26" s="23"/>
      <c r="F26" s="24"/>
      <c r="G26" s="50"/>
      <c r="H26" s="18" t="str">
        <f t="shared" si="0"/>
        <v/>
      </c>
      <c r="I26" s="44"/>
      <c r="K26" s="43"/>
      <c r="L26" s="48" t="str">
        <f t="shared" si="1"/>
        <v/>
      </c>
      <c r="M26" s="43"/>
      <c r="N26" s="43"/>
    </row>
    <row r="27" spans="2:14" x14ac:dyDescent="0.25">
      <c r="B27" s="14"/>
      <c r="C27" s="15"/>
      <c r="D27" s="15"/>
      <c r="E27" s="23"/>
      <c r="F27" s="24"/>
      <c r="G27" s="50"/>
      <c r="H27" s="18" t="str">
        <f t="shared" si="0"/>
        <v/>
      </c>
      <c r="I27" s="44"/>
      <c r="K27" s="43"/>
      <c r="L27" s="48" t="str">
        <f t="shared" si="1"/>
        <v/>
      </c>
      <c r="M27" s="43"/>
      <c r="N27" s="43"/>
    </row>
    <row r="28" spans="2:14" x14ac:dyDescent="0.25">
      <c r="B28" s="14"/>
      <c r="C28" s="15"/>
      <c r="D28" s="15"/>
      <c r="E28" s="23"/>
      <c r="F28" s="24"/>
      <c r="G28" s="46"/>
      <c r="H28" s="18" t="str">
        <f t="shared" ref="H28:H59" si="2">IF(E28="","",F28*G28)</f>
        <v/>
      </c>
      <c r="I28" s="44"/>
      <c r="K28" s="43"/>
      <c r="L28" s="48" t="str">
        <f t="shared" si="1"/>
        <v/>
      </c>
      <c r="M28" s="43"/>
      <c r="N28" s="43"/>
    </row>
    <row r="29" spans="2:14" x14ac:dyDescent="0.25">
      <c r="B29" s="14"/>
      <c r="C29" s="15"/>
      <c r="D29" s="15"/>
      <c r="E29" s="23"/>
      <c r="F29" s="24"/>
      <c r="G29" s="46"/>
      <c r="H29" s="18" t="str">
        <f t="shared" si="2"/>
        <v/>
      </c>
      <c r="I29" s="44"/>
      <c r="K29" s="43"/>
      <c r="L29" s="48" t="str">
        <f t="shared" si="1"/>
        <v/>
      </c>
      <c r="M29" s="43"/>
      <c r="N29" s="43"/>
    </row>
    <row r="30" spans="2:14" x14ac:dyDescent="0.25">
      <c r="B30" s="14"/>
      <c r="C30" s="15"/>
      <c r="D30" s="15"/>
      <c r="E30" s="23"/>
      <c r="F30" s="23"/>
      <c r="G30" s="43"/>
      <c r="H30" s="18" t="str">
        <f t="shared" si="2"/>
        <v/>
      </c>
      <c r="I30" s="44"/>
      <c r="K30" s="43"/>
      <c r="L30" s="48" t="str">
        <f t="shared" si="1"/>
        <v/>
      </c>
      <c r="M30" s="43"/>
      <c r="N30" s="43"/>
    </row>
    <row r="31" spans="2:14" x14ac:dyDescent="0.25">
      <c r="B31" s="14"/>
      <c r="C31" s="15"/>
      <c r="D31" s="15"/>
      <c r="E31" s="23"/>
      <c r="F31" s="23"/>
      <c r="G31" s="43"/>
      <c r="H31" s="18" t="str">
        <f t="shared" si="2"/>
        <v/>
      </c>
      <c r="I31" s="44"/>
      <c r="K31" s="43">
        <f>G31*3%</f>
        <v>0</v>
      </c>
      <c r="L31" s="48">
        <f t="shared" si="1"/>
        <v>0</v>
      </c>
      <c r="M31" s="43"/>
      <c r="N31" s="43"/>
    </row>
    <row r="32" spans="2:14" x14ac:dyDescent="0.25">
      <c r="B32" s="14"/>
      <c r="C32" s="15"/>
      <c r="D32" s="15"/>
      <c r="E32" s="23"/>
      <c r="F32" s="23"/>
      <c r="G32" s="41"/>
      <c r="H32" s="18" t="str">
        <f t="shared" si="2"/>
        <v/>
      </c>
      <c r="I32" s="44"/>
      <c r="K32" s="43"/>
      <c r="L32" s="48" t="str">
        <f t="shared" si="1"/>
        <v/>
      </c>
      <c r="M32" s="43"/>
      <c r="N32" s="43"/>
    </row>
    <row r="33" spans="2:14" x14ac:dyDescent="0.25">
      <c r="B33" s="14"/>
      <c r="C33" s="15"/>
      <c r="D33" s="15"/>
      <c r="E33" s="23"/>
      <c r="F33" s="23"/>
      <c r="G33" s="41"/>
      <c r="H33" s="18" t="str">
        <f t="shared" si="2"/>
        <v/>
      </c>
      <c r="I33" s="44"/>
      <c r="K33" s="43">
        <f>G33*3%</f>
        <v>0</v>
      </c>
      <c r="L33" s="48">
        <f t="shared" si="1"/>
        <v>0</v>
      </c>
      <c r="M33" s="43"/>
      <c r="N33" s="43"/>
    </row>
    <row r="34" spans="2:14" x14ac:dyDescent="0.25">
      <c r="B34" s="14"/>
      <c r="C34" s="15"/>
      <c r="D34" s="15"/>
      <c r="E34" s="23"/>
      <c r="F34" s="23"/>
      <c r="G34" s="41"/>
      <c r="H34" s="18" t="str">
        <f t="shared" si="2"/>
        <v/>
      </c>
      <c r="I34" s="44"/>
      <c r="K34" s="43"/>
      <c r="L34" s="48" t="str">
        <f t="shared" si="1"/>
        <v/>
      </c>
      <c r="M34" s="43"/>
      <c r="N34" s="43"/>
    </row>
    <row r="35" spans="2:14" x14ac:dyDescent="0.25">
      <c r="B35" s="14"/>
      <c r="C35" s="15"/>
      <c r="D35" s="15"/>
      <c r="E35" s="23"/>
      <c r="F35" s="23"/>
      <c r="G35" s="41"/>
      <c r="H35" s="18" t="str">
        <f t="shared" si="2"/>
        <v/>
      </c>
      <c r="I35" s="44"/>
      <c r="K35" s="43"/>
      <c r="L35" s="48" t="str">
        <f t="shared" si="1"/>
        <v/>
      </c>
      <c r="M35" s="43"/>
      <c r="N35" s="43"/>
    </row>
    <row r="36" spans="2:14" x14ac:dyDescent="0.25">
      <c r="B36" s="14"/>
      <c r="C36" s="15"/>
      <c r="D36" s="15"/>
      <c r="E36" s="23"/>
      <c r="F36" s="23"/>
      <c r="G36" s="41"/>
      <c r="H36" s="18" t="str">
        <f t="shared" si="2"/>
        <v/>
      </c>
      <c r="I36" s="44"/>
      <c r="K36" s="43"/>
      <c r="L36" s="48" t="str">
        <f t="shared" si="1"/>
        <v/>
      </c>
      <c r="M36" s="43"/>
      <c r="N36" s="43"/>
    </row>
    <row r="37" spans="2:14" x14ac:dyDescent="0.25">
      <c r="B37" s="14"/>
      <c r="C37" s="15"/>
      <c r="D37" s="15"/>
      <c r="E37" s="23"/>
      <c r="F37" s="23"/>
      <c r="G37" s="41"/>
      <c r="H37" s="18" t="str">
        <f t="shared" si="2"/>
        <v/>
      </c>
      <c r="I37" s="44"/>
      <c r="K37" s="43"/>
      <c r="L37" s="48" t="str">
        <f t="shared" si="1"/>
        <v/>
      </c>
      <c r="M37" s="43"/>
      <c r="N37" s="43"/>
    </row>
    <row r="38" spans="2:14" x14ac:dyDescent="0.25">
      <c r="B38" s="14"/>
      <c r="C38" s="15"/>
      <c r="D38" s="15"/>
      <c r="E38" s="23"/>
      <c r="F38" s="23"/>
      <c r="G38" s="41"/>
      <c r="H38" s="18" t="str">
        <f t="shared" si="2"/>
        <v/>
      </c>
      <c r="I38" s="44"/>
      <c r="K38" s="43"/>
      <c r="L38" s="48" t="str">
        <f t="shared" si="1"/>
        <v/>
      </c>
      <c r="M38" s="43"/>
      <c r="N38" s="43"/>
    </row>
    <row r="39" spans="2:14" x14ac:dyDescent="0.25">
      <c r="B39" s="14"/>
      <c r="C39" s="15"/>
      <c r="D39" s="15"/>
      <c r="E39" s="23"/>
      <c r="F39" s="23"/>
      <c r="G39" s="41"/>
      <c r="H39" s="18" t="str">
        <f t="shared" si="2"/>
        <v/>
      </c>
      <c r="I39" s="44"/>
      <c r="K39" s="43"/>
      <c r="L39" s="48" t="str">
        <f t="shared" si="1"/>
        <v/>
      </c>
      <c r="M39" s="43"/>
      <c r="N39" s="43"/>
    </row>
    <row r="40" spans="2:14" x14ac:dyDescent="0.25">
      <c r="B40" s="14"/>
      <c r="C40" s="15"/>
      <c r="D40" s="15"/>
      <c r="E40" s="23"/>
      <c r="F40" s="23"/>
      <c r="G40" s="51"/>
      <c r="H40" s="18" t="str">
        <f t="shared" si="2"/>
        <v/>
      </c>
      <c r="I40" s="44"/>
      <c r="K40" s="43"/>
      <c r="L40" s="48" t="str">
        <f t="shared" si="1"/>
        <v/>
      </c>
      <c r="M40" s="43"/>
      <c r="N40" s="43"/>
    </row>
    <row r="41" spans="2:14" x14ac:dyDescent="0.25">
      <c r="B41" s="15"/>
      <c r="C41" s="15"/>
      <c r="D41" s="15"/>
      <c r="E41" s="23"/>
      <c r="F41" s="23"/>
      <c r="G41" s="51"/>
      <c r="H41" s="18" t="str">
        <f t="shared" si="2"/>
        <v/>
      </c>
      <c r="I41" s="44"/>
      <c r="K41" s="43"/>
      <c r="L41" s="48" t="str">
        <f t="shared" si="1"/>
        <v/>
      </c>
      <c r="M41" s="43"/>
      <c r="N41" s="43"/>
    </row>
    <row r="42" spans="2:14" x14ac:dyDescent="0.25">
      <c r="B42" s="22"/>
      <c r="C42" s="15"/>
      <c r="D42" s="15"/>
      <c r="E42" s="23"/>
      <c r="F42" s="23"/>
      <c r="G42" s="41"/>
      <c r="H42" s="18" t="str">
        <f t="shared" si="2"/>
        <v/>
      </c>
      <c r="I42" s="44"/>
      <c r="K42" s="43"/>
      <c r="L42" s="48" t="str">
        <f t="shared" si="1"/>
        <v/>
      </c>
      <c r="M42" s="43"/>
      <c r="N42" s="43"/>
    </row>
    <row r="43" spans="2:14" x14ac:dyDescent="0.25">
      <c r="B43" s="22"/>
      <c r="C43" s="15"/>
      <c r="D43" s="15"/>
      <c r="E43" s="23"/>
      <c r="F43" s="23"/>
      <c r="G43" s="41"/>
      <c r="H43" s="18" t="str">
        <f t="shared" si="2"/>
        <v/>
      </c>
      <c r="I43" s="44"/>
      <c r="K43" s="43"/>
      <c r="L43" s="48" t="str">
        <f t="shared" si="1"/>
        <v/>
      </c>
      <c r="M43" s="43"/>
      <c r="N43" s="43"/>
    </row>
    <row r="44" spans="2:14" x14ac:dyDescent="0.25">
      <c r="B44" s="14"/>
      <c r="C44" s="15"/>
      <c r="D44" s="15"/>
      <c r="E44" s="23"/>
      <c r="F44" s="23"/>
      <c r="G44" s="41"/>
      <c r="H44" s="18" t="str">
        <f t="shared" si="2"/>
        <v/>
      </c>
      <c r="I44" s="44"/>
      <c r="K44" s="43"/>
      <c r="L44" s="48" t="str">
        <f t="shared" si="1"/>
        <v/>
      </c>
      <c r="M44" s="43"/>
      <c r="N44" s="43"/>
    </row>
    <row r="45" spans="2:14" x14ac:dyDescent="0.25">
      <c r="B45" s="14"/>
      <c r="C45" s="15"/>
      <c r="D45" s="15"/>
      <c r="E45" s="23"/>
      <c r="F45" s="23"/>
      <c r="G45" s="41"/>
      <c r="H45" s="18" t="str">
        <f t="shared" si="2"/>
        <v/>
      </c>
      <c r="I45" s="44"/>
      <c r="K45" s="43"/>
      <c r="L45" s="48" t="str">
        <f t="shared" si="1"/>
        <v/>
      </c>
      <c r="M45" s="43"/>
      <c r="N45" s="43"/>
    </row>
    <row r="46" spans="2:14" x14ac:dyDescent="0.25">
      <c r="B46" s="14"/>
      <c r="C46" s="15"/>
      <c r="D46" s="15"/>
      <c r="E46" s="23"/>
      <c r="F46" s="23"/>
      <c r="G46" s="41"/>
      <c r="H46" s="18" t="str">
        <f t="shared" si="2"/>
        <v/>
      </c>
      <c r="I46" s="44"/>
      <c r="K46" s="43"/>
      <c r="L46" s="48" t="str">
        <f t="shared" si="1"/>
        <v/>
      </c>
      <c r="M46" s="43"/>
      <c r="N46" s="43"/>
    </row>
    <row r="47" spans="2:14" x14ac:dyDescent="0.25">
      <c r="B47" s="14"/>
      <c r="C47" s="15"/>
      <c r="D47" s="15"/>
      <c r="E47" s="23"/>
      <c r="F47" s="23"/>
      <c r="G47" s="41"/>
      <c r="H47" s="18" t="str">
        <f t="shared" si="2"/>
        <v/>
      </c>
      <c r="I47" s="44"/>
    </row>
    <row r="48" spans="2:14" x14ac:dyDescent="0.25">
      <c r="B48" s="14"/>
      <c r="C48" s="15"/>
      <c r="D48" s="15"/>
      <c r="E48" s="40"/>
      <c r="F48" s="40"/>
      <c r="G48" s="41"/>
      <c r="H48" s="18" t="str">
        <f t="shared" si="2"/>
        <v/>
      </c>
    </row>
    <row r="49" spans="2:12" x14ac:dyDescent="0.25">
      <c r="B49" s="14"/>
      <c r="C49" s="15"/>
      <c r="D49" s="15"/>
      <c r="E49" s="23"/>
      <c r="F49" s="23"/>
      <c r="G49" s="41"/>
      <c r="H49" s="18" t="str">
        <f t="shared" si="2"/>
        <v/>
      </c>
      <c r="I49" s="44"/>
    </row>
    <row r="50" spans="2:12" x14ac:dyDescent="0.25">
      <c r="B50" s="14"/>
      <c r="C50" s="29"/>
      <c r="D50" s="147"/>
      <c r="E50" s="40"/>
      <c r="F50" s="40"/>
      <c r="G50" s="41"/>
      <c r="H50" s="18" t="str">
        <f t="shared" si="2"/>
        <v/>
      </c>
      <c r="I50" s="52"/>
    </row>
    <row r="51" spans="2:12" x14ac:dyDescent="0.25">
      <c r="B51" s="14"/>
      <c r="C51" s="29"/>
      <c r="D51" s="147"/>
      <c r="E51" s="40"/>
      <c r="F51" s="40"/>
      <c r="G51" s="41"/>
      <c r="H51" s="18" t="str">
        <f t="shared" si="2"/>
        <v/>
      </c>
    </row>
    <row r="52" spans="2:12" x14ac:dyDescent="0.25">
      <c r="B52" s="14"/>
      <c r="C52" s="29"/>
      <c r="D52" s="147"/>
      <c r="E52" s="23"/>
      <c r="F52" s="23"/>
      <c r="G52" s="41"/>
      <c r="H52" s="18" t="str">
        <f t="shared" si="2"/>
        <v/>
      </c>
      <c r="I52" s="44"/>
    </row>
    <row r="53" spans="2:12" x14ac:dyDescent="0.25">
      <c r="B53" s="14"/>
      <c r="C53" s="15"/>
      <c r="D53" s="15"/>
      <c r="E53" s="23"/>
      <c r="F53" s="23"/>
      <c r="G53" s="41"/>
      <c r="H53" s="18" t="str">
        <f t="shared" si="2"/>
        <v/>
      </c>
      <c r="I53" s="44"/>
    </row>
    <row r="54" spans="2:12" x14ac:dyDescent="0.25">
      <c r="B54" s="14"/>
      <c r="C54" s="15"/>
      <c r="D54" s="15"/>
      <c r="E54" s="23"/>
      <c r="F54" s="23"/>
      <c r="G54" s="41"/>
      <c r="H54" s="18" t="str">
        <f t="shared" si="2"/>
        <v/>
      </c>
      <c r="I54" s="44"/>
    </row>
    <row r="55" spans="2:12" x14ac:dyDescent="0.25">
      <c r="B55" s="14"/>
      <c r="C55" s="15"/>
      <c r="D55" s="15"/>
      <c r="E55" s="23"/>
      <c r="F55" s="23"/>
      <c r="G55" s="41"/>
      <c r="H55" s="18" t="str">
        <f t="shared" si="2"/>
        <v/>
      </c>
      <c r="I55" s="44"/>
    </row>
    <row r="56" spans="2:12" x14ac:dyDescent="0.25">
      <c r="B56" s="14"/>
      <c r="C56" s="15"/>
      <c r="D56" s="15"/>
      <c r="E56" s="23"/>
      <c r="F56" s="23"/>
      <c r="G56" s="41"/>
      <c r="H56" s="18" t="str">
        <f t="shared" si="2"/>
        <v/>
      </c>
      <c r="I56" s="44"/>
    </row>
    <row r="57" spans="2:12" x14ac:dyDescent="0.25">
      <c r="B57" s="14"/>
      <c r="C57" s="15"/>
      <c r="D57" s="15"/>
      <c r="E57" s="23"/>
      <c r="F57" s="23"/>
      <c r="G57" s="41"/>
      <c r="H57" s="18" t="str">
        <f t="shared" si="2"/>
        <v/>
      </c>
      <c r="I57" s="44"/>
    </row>
    <row r="58" spans="2:12" x14ac:dyDescent="0.25">
      <c r="B58" s="14"/>
      <c r="C58" s="28"/>
      <c r="D58" s="146"/>
      <c r="E58" s="23"/>
      <c r="F58" s="23"/>
      <c r="G58" s="41"/>
      <c r="H58" s="18" t="str">
        <f t="shared" si="2"/>
        <v/>
      </c>
      <c r="I58" s="44"/>
    </row>
    <row r="59" spans="2:12" x14ac:dyDescent="0.25">
      <c r="B59" s="14"/>
      <c r="C59" s="28"/>
      <c r="D59" s="146"/>
      <c r="E59" s="23"/>
      <c r="F59" s="23"/>
      <c r="G59" s="41"/>
      <c r="H59" s="18" t="str">
        <f t="shared" si="2"/>
        <v/>
      </c>
      <c r="I59" s="44"/>
    </row>
    <row r="60" spans="2:12" x14ac:dyDescent="0.25">
      <c r="B60" s="14"/>
      <c r="C60" s="28"/>
      <c r="D60" s="146"/>
      <c r="E60" s="23"/>
      <c r="F60" s="23"/>
      <c r="G60" s="41"/>
      <c r="H60" s="18" t="str">
        <f>IF(E60="","",F60*G60)</f>
        <v/>
      </c>
      <c r="I60" s="44"/>
    </row>
    <row r="61" spans="2:12" x14ac:dyDescent="0.25">
      <c r="B61" s="14"/>
      <c r="C61" s="15"/>
      <c r="D61" s="15"/>
      <c r="E61" s="23"/>
      <c r="F61" s="23"/>
      <c r="G61" s="41"/>
      <c r="H61" s="18" t="str">
        <f>IF(E61="","",F61*G61)</f>
        <v/>
      </c>
      <c r="I61" s="44"/>
    </row>
    <row r="62" spans="2:12" x14ac:dyDescent="0.25">
      <c r="B62" s="14"/>
      <c r="C62" s="15"/>
      <c r="D62" s="15"/>
      <c r="E62" s="23"/>
      <c r="F62" s="23"/>
      <c r="G62" s="41"/>
      <c r="H62" s="18" t="str">
        <f>IF(E62="","",F62*G62)</f>
        <v/>
      </c>
      <c r="I62" s="44"/>
    </row>
    <row r="63" spans="2:12" x14ac:dyDescent="0.25">
      <c r="B63" s="14"/>
      <c r="C63" s="15"/>
      <c r="D63" s="15"/>
      <c r="E63" s="23"/>
      <c r="F63" s="23"/>
      <c r="G63" s="41"/>
      <c r="H63" s="18" t="str">
        <f>IF(E63="","",F63*G63)</f>
        <v/>
      </c>
      <c r="I63" s="44"/>
    </row>
    <row r="64" spans="2:12" s="31" customFormat="1" ht="25.2" customHeight="1" x14ac:dyDescent="0.25">
      <c r="B64" s="90" t="str">
        <f>$B$11</f>
        <v>C8.1</v>
      </c>
      <c r="C64" s="33" t="str">
        <f>"TOTAL CARRIED FORWARD"&amp;IF(H64=H$1," TO SUMMARY (Page C"&amp;Page_A&amp;")","")</f>
        <v>TOTAL CARRIED FORWARD TO SUMMARY (Page C57)</v>
      </c>
      <c r="D64" s="33"/>
      <c r="E64" s="34"/>
      <c r="F64" s="35"/>
      <c r="G64" s="34"/>
      <c r="H64" s="36">
        <f>SUM(H10:H63)</f>
        <v>0</v>
      </c>
      <c r="I64" s="37"/>
      <c r="L64" s="36">
        <f>SUM(L10:L63)</f>
        <v>0</v>
      </c>
    </row>
  </sheetData>
  <mergeCells count="4">
    <mergeCell ref="F2:H2"/>
    <mergeCell ref="B6:G8"/>
    <mergeCell ref="H5:H8"/>
    <mergeCell ref="B5:G5"/>
  </mergeCells>
  <phoneticPr fontId="14" type="noConversion"/>
  <printOptions horizontalCentered="1"/>
  <pageMargins left="0.43307086614173229" right="0.31496062992125984" top="0.43307086614173229" bottom="0.62992125984251968" header="0.35433070866141736" footer="0.31496062992125984"/>
  <pageSetup paperSize="9" scale="77"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894AF-6190-4800-ACEE-0990C5843677}">
  <sheetPr codeName="Sheet80">
    <tabColor rgb="FF92D050"/>
  </sheetPr>
  <dimension ref="B1:N46"/>
  <sheetViews>
    <sheetView view="pageBreakPreview" zoomScaleNormal="125" zoomScaleSheetLayoutView="100" zoomScalePageLayoutView="125" workbookViewId="0">
      <pane xSplit="5" ySplit="2" topLeftCell="F3" activePane="bottomRight" state="frozen"/>
      <selection activeCell="D114" sqref="D114"/>
      <selection pane="topRight" activeCell="D114" sqref="D114"/>
      <selection pane="bottomLeft" activeCell="D114" sqref="D114"/>
      <selection pane="bottomRight" activeCell="G19" sqref="G19"/>
    </sheetView>
  </sheetViews>
  <sheetFormatPr defaultColWidth="8.6640625" defaultRowHeight="13.2" x14ac:dyDescent="0.25"/>
  <cols>
    <col min="1" max="1" width="0.6640625" style="1" customWidth="1"/>
    <col min="2" max="2" width="11.5546875" style="168" customWidth="1"/>
    <col min="3" max="3" width="45.5546875" style="3" customWidth="1"/>
    <col min="4" max="4" width="5.664062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1" width="8.6640625" style="1"/>
    <col min="12" max="12" width="11.6640625" style="1" bestFit="1" customWidth="1"/>
    <col min="13" max="16384" width="8.6640625" style="1"/>
  </cols>
  <sheetData>
    <row r="1" spans="2:14" x14ac:dyDescent="0.25">
      <c r="H1" s="234">
        <f>MAX(H9:H486)</f>
        <v>0</v>
      </c>
    </row>
    <row r="2" spans="2:14" x14ac:dyDescent="0.25">
      <c r="B2" s="10" t="str">
        <f>Client1</f>
        <v>Province of KwaZulu-Natal</v>
      </c>
      <c r="F2" s="510" t="str">
        <f>"Contract No. "&amp;ContractNo</f>
        <v>Contract No. ZNB02215/00000/00/HOD/INF/23/T</v>
      </c>
      <c r="G2" s="510"/>
      <c r="H2" s="510"/>
      <c r="K2" s="402"/>
      <c r="L2" s="402">
        <f>MAX(L3:L245)</f>
        <v>0</v>
      </c>
      <c r="M2" s="402"/>
      <c r="N2" s="403"/>
    </row>
    <row r="3" spans="2:14" x14ac:dyDescent="0.25">
      <c r="B3" s="167" t="str">
        <f>Client2</f>
        <v>Department of Transport</v>
      </c>
      <c r="K3" s="1" t="s">
        <v>1421</v>
      </c>
      <c r="L3" s="1" t="s">
        <v>1422</v>
      </c>
      <c r="M3" s="1" t="s">
        <v>1423</v>
      </c>
      <c r="N3" s="1" t="s">
        <v>1424</v>
      </c>
    </row>
    <row r="4" spans="2:14" x14ac:dyDescent="0.25">
      <c r="B4" s="4"/>
      <c r="K4" s="86"/>
      <c r="L4" s="86"/>
      <c r="M4" s="86"/>
      <c r="N4" s="86"/>
    </row>
    <row r="5" spans="2:14" ht="12.75" customHeight="1" x14ac:dyDescent="0.25">
      <c r="B5" s="507" t="s">
        <v>8</v>
      </c>
      <c r="C5" s="508"/>
      <c r="D5" s="508"/>
      <c r="E5" s="508"/>
      <c r="F5" s="508"/>
      <c r="G5" s="508"/>
      <c r="H5" s="512" t="str">
        <f>"CHAPTER "&amp;B11</f>
        <v>CHAPTER C10.1</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13"/>
      <c r="I6" s="9"/>
    </row>
    <row r="7" spans="2:14" ht="12.75" customHeight="1" x14ac:dyDescent="0.25">
      <c r="B7" s="500"/>
      <c r="C7" s="501"/>
      <c r="D7" s="501"/>
      <c r="E7" s="501"/>
      <c r="F7" s="501"/>
      <c r="G7" s="501"/>
      <c r="H7" s="513"/>
      <c r="I7" s="9"/>
    </row>
    <row r="8" spans="2:14" s="10" customFormat="1" ht="7.5" customHeight="1" x14ac:dyDescent="0.25">
      <c r="B8" s="502"/>
      <c r="C8" s="503"/>
      <c r="D8" s="503"/>
      <c r="E8" s="503"/>
      <c r="F8" s="503"/>
      <c r="G8" s="503"/>
      <c r="H8" s="514"/>
      <c r="I8" s="13"/>
      <c r="K8" s="1"/>
      <c r="L8" s="1"/>
      <c r="M8" s="1"/>
      <c r="N8" s="1"/>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53"/>
      <c r="C10" s="15"/>
      <c r="D10" s="15"/>
      <c r="E10" s="16"/>
      <c r="F10" s="16"/>
      <c r="G10" s="17"/>
      <c r="H10" s="18" t="str">
        <f t="shared" ref="H10:H15" si="0">IF(E10="","",F10*G10)</f>
        <v/>
      </c>
      <c r="I10" s="19"/>
      <c r="K10" s="17"/>
      <c r="L10" s="17"/>
      <c r="M10" s="17"/>
      <c r="N10" s="17"/>
    </row>
    <row r="11" spans="2:14" ht="26.4" x14ac:dyDescent="0.25">
      <c r="B11" s="80" t="s">
        <v>947</v>
      </c>
      <c r="C11" s="21" t="s">
        <v>946</v>
      </c>
      <c r="D11" s="21"/>
      <c r="E11" s="16"/>
      <c r="F11" s="16"/>
      <c r="G11" s="17"/>
      <c r="H11" s="18" t="str">
        <f t="shared" si="0"/>
        <v/>
      </c>
      <c r="I11" s="19"/>
      <c r="K11" s="43"/>
      <c r="L11" s="43"/>
      <c r="M11" s="43"/>
      <c r="N11" s="43"/>
    </row>
    <row r="12" spans="2:14" x14ac:dyDescent="0.25">
      <c r="B12" s="53"/>
      <c r="C12" s="15"/>
      <c r="D12" s="15"/>
      <c r="E12" s="16"/>
      <c r="F12" s="16"/>
      <c r="G12" s="17"/>
      <c r="H12" s="18" t="str">
        <f t="shared" si="0"/>
        <v/>
      </c>
      <c r="I12" s="19"/>
      <c r="K12" s="43"/>
      <c r="L12" s="43"/>
      <c r="M12" s="43"/>
      <c r="N12" s="43"/>
    </row>
    <row r="13" spans="2:14" ht="26.4" x14ac:dyDescent="0.25">
      <c r="B13" s="53" t="s">
        <v>945</v>
      </c>
      <c r="C13" s="15" t="s">
        <v>944</v>
      </c>
      <c r="D13" s="15"/>
      <c r="E13" s="16"/>
      <c r="F13" s="16"/>
      <c r="G13" s="72"/>
      <c r="H13" s="18" t="str">
        <f t="shared" si="0"/>
        <v/>
      </c>
      <c r="I13" s="19"/>
      <c r="K13" s="25"/>
      <c r="L13" s="48" t="str">
        <f t="shared" ref="L13:L46" si="1">IF(K13="","",K13*F13)</f>
        <v/>
      </c>
      <c r="M13" s="25"/>
      <c r="N13" s="25"/>
    </row>
    <row r="14" spans="2:14" x14ac:dyDescent="0.25">
      <c r="B14" s="66"/>
      <c r="C14" s="15"/>
      <c r="D14" s="15"/>
      <c r="E14" s="16"/>
      <c r="F14" s="16"/>
      <c r="G14" s="72"/>
      <c r="H14" s="18" t="str">
        <f t="shared" si="0"/>
        <v/>
      </c>
      <c r="I14" s="19"/>
      <c r="K14" s="43"/>
      <c r="L14" s="48" t="str">
        <f t="shared" si="1"/>
        <v/>
      </c>
      <c r="M14" s="43"/>
      <c r="N14" s="43"/>
    </row>
    <row r="15" spans="2:14" ht="26.4" x14ac:dyDescent="0.25">
      <c r="B15" s="53" t="s">
        <v>943</v>
      </c>
      <c r="C15" s="15" t="s">
        <v>1401</v>
      </c>
      <c r="D15" s="69" t="s">
        <v>1602</v>
      </c>
      <c r="E15" s="23" t="s">
        <v>600</v>
      </c>
      <c r="F15" s="16">
        <v>69700</v>
      </c>
      <c r="G15" s="72"/>
      <c r="H15" s="18">
        <f t="shared" si="0"/>
        <v>0</v>
      </c>
      <c r="I15" s="65"/>
      <c r="K15" s="459">
        <f>G15*3%</f>
        <v>0</v>
      </c>
      <c r="L15" s="48">
        <f t="shared" si="1"/>
        <v>0</v>
      </c>
      <c r="M15" s="43"/>
      <c r="N15" s="43"/>
    </row>
    <row r="16" spans="2:14" x14ac:dyDescent="0.25">
      <c r="B16" s="66"/>
      <c r="C16" s="15"/>
      <c r="D16" s="15"/>
      <c r="E16" s="16"/>
      <c r="F16" s="27"/>
      <c r="G16" s="17"/>
      <c r="H16" s="18"/>
      <c r="I16" s="19"/>
      <c r="K16" s="43"/>
      <c r="L16" s="48" t="str">
        <f t="shared" si="1"/>
        <v/>
      </c>
      <c r="M16" s="43"/>
      <c r="N16" s="43"/>
    </row>
    <row r="17" spans="2:14" x14ac:dyDescent="0.25">
      <c r="B17" s="66" t="s">
        <v>942</v>
      </c>
      <c r="C17" s="15" t="s">
        <v>941</v>
      </c>
      <c r="D17" s="15"/>
      <c r="E17" s="69"/>
      <c r="F17" s="16"/>
      <c r="G17" s="72"/>
      <c r="H17" s="18" t="str">
        <f t="shared" ref="H17:H43" si="2">IF(E17="","",F17*G17)</f>
        <v/>
      </c>
      <c r="I17" s="19"/>
      <c r="K17" s="43"/>
      <c r="L17" s="48" t="str">
        <f t="shared" si="1"/>
        <v/>
      </c>
      <c r="M17" s="43"/>
      <c r="N17" s="43"/>
    </row>
    <row r="18" spans="2:14" x14ac:dyDescent="0.25">
      <c r="B18" s="66"/>
      <c r="C18" s="15"/>
      <c r="D18" s="15"/>
      <c r="E18" s="16"/>
      <c r="F18" s="16"/>
      <c r="G18" s="72"/>
      <c r="H18" s="18" t="str">
        <f t="shared" si="2"/>
        <v/>
      </c>
      <c r="I18" s="68"/>
      <c r="K18" s="43"/>
      <c r="L18" s="48" t="str">
        <f t="shared" si="1"/>
        <v/>
      </c>
      <c r="M18" s="43"/>
      <c r="N18" s="43"/>
    </row>
    <row r="19" spans="2:14" ht="26.4" x14ac:dyDescent="0.25">
      <c r="B19" s="91" t="s">
        <v>940</v>
      </c>
      <c r="C19" s="15" t="s">
        <v>939</v>
      </c>
      <c r="D19" s="15"/>
      <c r="E19" s="69" t="s">
        <v>425</v>
      </c>
      <c r="F19" s="16">
        <v>1</v>
      </c>
      <c r="G19" s="72"/>
      <c r="H19" s="18">
        <f t="shared" si="2"/>
        <v>0</v>
      </c>
      <c r="I19" s="71"/>
      <c r="K19" s="43"/>
      <c r="L19" s="48" t="str">
        <f t="shared" si="1"/>
        <v/>
      </c>
      <c r="M19" s="43"/>
      <c r="N19" s="43"/>
    </row>
    <row r="20" spans="2:14" x14ac:dyDescent="0.25">
      <c r="B20" s="66"/>
      <c r="C20" s="15"/>
      <c r="D20" s="15"/>
      <c r="E20" s="16"/>
      <c r="F20" s="16"/>
      <c r="G20" s="72"/>
      <c r="H20" s="18" t="str">
        <f t="shared" si="2"/>
        <v/>
      </c>
      <c r="I20" s="71"/>
      <c r="K20" s="43"/>
      <c r="L20" s="48" t="str">
        <f t="shared" si="1"/>
        <v/>
      </c>
      <c r="M20" s="43"/>
      <c r="N20" s="43"/>
    </row>
    <row r="21" spans="2:14" ht="52.8" x14ac:dyDescent="0.25">
      <c r="B21" s="66" t="s">
        <v>938</v>
      </c>
      <c r="C21" s="15" t="s">
        <v>1402</v>
      </c>
      <c r="D21" s="15"/>
      <c r="E21" s="69" t="s">
        <v>817</v>
      </c>
      <c r="F21" s="16">
        <v>400</v>
      </c>
      <c r="G21" s="17"/>
      <c r="H21" s="18">
        <f t="shared" si="2"/>
        <v>0</v>
      </c>
      <c r="I21" s="71"/>
      <c r="K21" s="459">
        <f>G21*3%</f>
        <v>0</v>
      </c>
      <c r="L21" s="48">
        <f t="shared" si="1"/>
        <v>0</v>
      </c>
      <c r="M21" s="43"/>
      <c r="N21" s="43"/>
    </row>
    <row r="22" spans="2:14" x14ac:dyDescent="0.25">
      <c r="B22" s="66"/>
      <c r="C22" s="28"/>
      <c r="D22" s="146"/>
      <c r="E22" s="69"/>
      <c r="F22" s="27"/>
      <c r="G22" s="70"/>
      <c r="H22" s="18" t="str">
        <f t="shared" si="2"/>
        <v/>
      </c>
      <c r="I22" s="71"/>
      <c r="K22" s="43"/>
      <c r="L22" s="48" t="str">
        <f t="shared" si="1"/>
        <v/>
      </c>
      <c r="M22" s="43"/>
      <c r="N22" s="43"/>
    </row>
    <row r="23" spans="2:14" x14ac:dyDescent="0.25">
      <c r="B23" s="66" t="s">
        <v>937</v>
      </c>
      <c r="C23" s="15" t="s">
        <v>936</v>
      </c>
      <c r="D23" s="15"/>
      <c r="E23" s="23"/>
      <c r="F23" s="27"/>
      <c r="G23" s="67"/>
      <c r="H23" s="18" t="str">
        <f t="shared" si="2"/>
        <v/>
      </c>
      <c r="I23" s="71"/>
      <c r="K23" s="43"/>
      <c r="L23" s="48" t="str">
        <f t="shared" si="1"/>
        <v/>
      </c>
      <c r="M23" s="43"/>
      <c r="N23" s="43"/>
    </row>
    <row r="24" spans="2:14" x14ac:dyDescent="0.25">
      <c r="B24" s="66"/>
      <c r="C24" s="15"/>
      <c r="D24" s="15"/>
      <c r="E24" s="16"/>
      <c r="F24" s="27"/>
      <c r="G24" s="70"/>
      <c r="H24" s="18" t="str">
        <f t="shared" si="2"/>
        <v/>
      </c>
      <c r="I24" s="71"/>
      <c r="K24" s="43"/>
      <c r="L24" s="48" t="str">
        <f t="shared" si="1"/>
        <v/>
      </c>
      <c r="M24" s="43"/>
      <c r="N24" s="43"/>
    </row>
    <row r="25" spans="2:14" x14ac:dyDescent="0.25">
      <c r="B25" s="91" t="s">
        <v>935</v>
      </c>
      <c r="C25" s="15" t="s">
        <v>934</v>
      </c>
      <c r="D25" s="15"/>
      <c r="E25" s="23" t="s">
        <v>542</v>
      </c>
      <c r="F25" s="27">
        <v>31365</v>
      </c>
      <c r="G25" s="17"/>
      <c r="H25" s="18">
        <f t="shared" si="2"/>
        <v>0</v>
      </c>
      <c r="I25" s="19"/>
      <c r="K25" s="43"/>
      <c r="L25" s="48" t="str">
        <f t="shared" si="1"/>
        <v/>
      </c>
      <c r="M25" s="43"/>
      <c r="N25" s="43"/>
    </row>
    <row r="26" spans="2:14" x14ac:dyDescent="0.25">
      <c r="B26" s="66"/>
      <c r="C26" s="15"/>
      <c r="D26" s="15"/>
      <c r="E26" s="16"/>
      <c r="F26" s="27"/>
      <c r="G26" s="17"/>
      <c r="H26" s="18" t="str">
        <f t="shared" si="2"/>
        <v/>
      </c>
      <c r="I26" s="19"/>
      <c r="K26" s="43"/>
      <c r="L26" s="48" t="str">
        <f t="shared" si="1"/>
        <v/>
      </c>
      <c r="M26" s="43"/>
      <c r="N26" s="43"/>
    </row>
    <row r="27" spans="2:14" x14ac:dyDescent="0.25">
      <c r="B27" s="53" t="s">
        <v>933</v>
      </c>
      <c r="C27" s="15" t="s">
        <v>1403</v>
      </c>
      <c r="D27" s="15"/>
      <c r="E27" s="16"/>
      <c r="F27" s="27"/>
      <c r="G27" s="72"/>
      <c r="H27" s="18" t="str">
        <f t="shared" si="2"/>
        <v/>
      </c>
      <c r="I27" s="65"/>
      <c r="K27" s="43"/>
      <c r="L27" s="48" t="str">
        <f t="shared" si="1"/>
        <v/>
      </c>
      <c r="M27" s="43"/>
      <c r="N27" s="43"/>
    </row>
    <row r="28" spans="2:14" x14ac:dyDescent="0.25">
      <c r="B28" s="66"/>
      <c r="C28" s="15"/>
      <c r="D28" s="15"/>
      <c r="E28" s="16"/>
      <c r="F28" s="27"/>
      <c r="G28" s="72"/>
      <c r="H28" s="18" t="str">
        <f t="shared" si="2"/>
        <v/>
      </c>
      <c r="I28" s="19"/>
      <c r="K28" s="43"/>
      <c r="L28" s="48" t="str">
        <f t="shared" si="1"/>
        <v/>
      </c>
      <c r="M28" s="43"/>
      <c r="N28" s="43"/>
    </row>
    <row r="29" spans="2:14" ht="15.6" x14ac:dyDescent="0.25">
      <c r="B29" s="169" t="s">
        <v>932</v>
      </c>
      <c r="C29" s="15" t="s">
        <v>931</v>
      </c>
      <c r="D29" s="15"/>
      <c r="E29" s="23" t="s">
        <v>34</v>
      </c>
      <c r="F29" s="27">
        <v>1745</v>
      </c>
      <c r="G29" s="72"/>
      <c r="H29" s="18">
        <f t="shared" si="2"/>
        <v>0</v>
      </c>
      <c r="I29" s="65"/>
      <c r="K29" s="43"/>
      <c r="L29" s="48" t="str">
        <f t="shared" si="1"/>
        <v/>
      </c>
      <c r="M29" s="43"/>
      <c r="N29" s="43"/>
    </row>
    <row r="30" spans="2:14" x14ac:dyDescent="0.25">
      <c r="B30" s="66"/>
      <c r="C30" s="15"/>
      <c r="D30" s="15"/>
      <c r="E30" s="16"/>
      <c r="F30" s="16"/>
      <c r="G30" s="17"/>
      <c r="H30" s="18" t="str">
        <f t="shared" si="2"/>
        <v/>
      </c>
      <c r="I30" s="19"/>
      <c r="K30" s="43"/>
      <c r="L30" s="48" t="str">
        <f t="shared" si="1"/>
        <v/>
      </c>
      <c r="M30" s="43"/>
      <c r="N30" s="43"/>
    </row>
    <row r="31" spans="2:14" ht="15.6" x14ac:dyDescent="0.25">
      <c r="B31" s="66" t="s">
        <v>930</v>
      </c>
      <c r="C31" s="15" t="s">
        <v>929</v>
      </c>
      <c r="D31" s="15"/>
      <c r="E31" s="16" t="s">
        <v>34</v>
      </c>
      <c r="F31" s="27">
        <v>500</v>
      </c>
      <c r="G31" s="72"/>
      <c r="H31" s="18">
        <f t="shared" si="2"/>
        <v>0</v>
      </c>
      <c r="I31" s="19"/>
      <c r="K31" s="43"/>
      <c r="L31" s="48" t="str">
        <f t="shared" si="1"/>
        <v/>
      </c>
      <c r="M31" s="43"/>
      <c r="N31" s="43"/>
    </row>
    <row r="32" spans="2:14" x14ac:dyDescent="0.25">
      <c r="B32" s="66"/>
      <c r="C32" s="15"/>
      <c r="D32" s="15"/>
      <c r="E32" s="16"/>
      <c r="F32" s="27"/>
      <c r="G32" s="72"/>
      <c r="H32" s="18" t="str">
        <f t="shared" si="2"/>
        <v/>
      </c>
      <c r="I32" s="19"/>
      <c r="K32" s="43"/>
      <c r="L32" s="48" t="str">
        <f t="shared" si="1"/>
        <v/>
      </c>
      <c r="M32" s="43"/>
      <c r="N32" s="43"/>
    </row>
    <row r="33" spans="2:14" x14ac:dyDescent="0.25">
      <c r="B33" s="66" t="s">
        <v>928</v>
      </c>
      <c r="C33" s="15" t="s">
        <v>927</v>
      </c>
      <c r="D33" s="15"/>
      <c r="E33" s="16"/>
      <c r="F33" s="27"/>
      <c r="G33" s="72"/>
      <c r="H33" s="18" t="str">
        <f t="shared" si="2"/>
        <v/>
      </c>
      <c r="I33" s="19"/>
      <c r="K33" s="43"/>
      <c r="L33" s="48" t="str">
        <f t="shared" si="1"/>
        <v/>
      </c>
      <c r="M33" s="43"/>
      <c r="N33" s="43"/>
    </row>
    <row r="34" spans="2:14" x14ac:dyDescent="0.25">
      <c r="B34" s="66"/>
      <c r="C34" s="15"/>
      <c r="D34" s="15"/>
      <c r="E34" s="16"/>
      <c r="F34" s="16"/>
      <c r="G34" s="72"/>
      <c r="H34" s="18" t="str">
        <f t="shared" si="2"/>
        <v/>
      </c>
      <c r="I34" s="19"/>
      <c r="K34" s="43"/>
      <c r="L34" s="48" t="str">
        <f t="shared" si="1"/>
        <v/>
      </c>
      <c r="M34" s="43"/>
      <c r="N34" s="43"/>
    </row>
    <row r="35" spans="2:14" ht="26.4" x14ac:dyDescent="0.25">
      <c r="B35" s="53" t="s">
        <v>926</v>
      </c>
      <c r="C35" s="15" t="s">
        <v>1405</v>
      </c>
      <c r="D35" s="69" t="s">
        <v>1602</v>
      </c>
      <c r="E35" s="16" t="s">
        <v>542</v>
      </c>
      <c r="F35" s="16">
        <v>24395</v>
      </c>
      <c r="G35" s="72"/>
      <c r="H35" s="18">
        <f t="shared" si="2"/>
        <v>0</v>
      </c>
      <c r="I35" s="19"/>
      <c r="K35" s="459">
        <f>G35*3%</f>
        <v>0</v>
      </c>
      <c r="L35" s="48">
        <f t="shared" si="1"/>
        <v>0</v>
      </c>
      <c r="M35" s="43"/>
      <c r="N35" s="43"/>
    </row>
    <row r="36" spans="2:14" x14ac:dyDescent="0.25">
      <c r="B36" s="66"/>
      <c r="C36" s="15"/>
      <c r="D36" s="15"/>
      <c r="E36" s="16"/>
      <c r="F36" s="16"/>
      <c r="G36" s="75"/>
      <c r="H36" s="354" t="str">
        <f t="shared" si="2"/>
        <v/>
      </c>
      <c r="I36" s="355"/>
      <c r="K36" s="43"/>
      <c r="L36" s="48" t="str">
        <f t="shared" si="1"/>
        <v/>
      </c>
      <c r="M36" s="43"/>
      <c r="N36" s="43"/>
    </row>
    <row r="37" spans="2:14" ht="12" customHeight="1" x14ac:dyDescent="0.25">
      <c r="B37" s="53" t="s">
        <v>925</v>
      </c>
      <c r="C37" s="29" t="s">
        <v>924</v>
      </c>
      <c r="D37" s="147"/>
      <c r="E37" s="16"/>
      <c r="F37" s="16"/>
      <c r="G37" s="75"/>
      <c r="H37" s="354" t="str">
        <f t="shared" si="2"/>
        <v/>
      </c>
      <c r="I37" s="355"/>
      <c r="K37" s="43"/>
      <c r="L37" s="48" t="str">
        <f t="shared" si="1"/>
        <v/>
      </c>
      <c r="M37" s="43"/>
      <c r="N37" s="43"/>
    </row>
    <row r="38" spans="2:14" x14ac:dyDescent="0.25">
      <c r="B38" s="53"/>
      <c r="C38" s="15"/>
      <c r="D38" s="15"/>
      <c r="E38" s="16"/>
      <c r="F38" s="16"/>
      <c r="G38" s="75" t="s">
        <v>1556</v>
      </c>
      <c r="H38" s="354" t="str">
        <f t="shared" si="2"/>
        <v/>
      </c>
      <c r="I38" s="355"/>
      <c r="K38" s="43"/>
      <c r="L38" s="48" t="str">
        <f t="shared" si="1"/>
        <v/>
      </c>
      <c r="M38" s="43"/>
      <c r="N38" s="43"/>
    </row>
    <row r="39" spans="2:14" ht="26.4" x14ac:dyDescent="0.25">
      <c r="B39" s="66" t="s">
        <v>923</v>
      </c>
      <c r="C39" s="15" t="s">
        <v>922</v>
      </c>
      <c r="D39" s="15"/>
      <c r="E39" s="16" t="s">
        <v>542</v>
      </c>
      <c r="F39" s="16">
        <v>15250</v>
      </c>
      <c r="G39" s="17"/>
      <c r="H39" s="354">
        <f t="shared" si="2"/>
        <v>0</v>
      </c>
      <c r="I39" s="355"/>
      <c r="K39" s="459">
        <f>G39*3%</f>
        <v>0</v>
      </c>
      <c r="L39" s="48">
        <f t="shared" si="1"/>
        <v>0</v>
      </c>
      <c r="M39" s="43"/>
      <c r="N39" s="43"/>
    </row>
    <row r="40" spans="2:14" x14ac:dyDescent="0.25">
      <c r="B40" s="66"/>
      <c r="C40" s="15"/>
      <c r="D40" s="15"/>
      <c r="E40" s="16"/>
      <c r="F40" s="16"/>
      <c r="G40" s="17"/>
      <c r="H40" s="354" t="str">
        <f t="shared" si="2"/>
        <v/>
      </c>
      <c r="K40" s="43"/>
      <c r="L40" s="48" t="str">
        <f t="shared" si="1"/>
        <v/>
      </c>
      <c r="M40" s="43"/>
      <c r="N40" s="43"/>
    </row>
    <row r="41" spans="2:14" ht="26.4" x14ac:dyDescent="0.25">
      <c r="B41" s="91" t="s">
        <v>1164</v>
      </c>
      <c r="C41" s="42" t="s">
        <v>375</v>
      </c>
      <c r="D41" s="42"/>
      <c r="E41" s="23"/>
      <c r="F41" s="24"/>
      <c r="G41" s="25"/>
      <c r="H41" s="18" t="str">
        <f t="shared" si="2"/>
        <v/>
      </c>
      <c r="K41" s="43"/>
      <c r="L41" s="48" t="str">
        <f t="shared" si="1"/>
        <v/>
      </c>
      <c r="M41" s="43"/>
      <c r="N41" s="43"/>
    </row>
    <row r="42" spans="2:14" x14ac:dyDescent="0.25">
      <c r="B42" s="91"/>
      <c r="C42" s="15"/>
      <c r="D42" s="15"/>
      <c r="E42" s="23"/>
      <c r="F42" s="24"/>
      <c r="G42" s="25"/>
      <c r="H42" s="18" t="str">
        <f t="shared" si="2"/>
        <v/>
      </c>
      <c r="K42" s="43"/>
      <c r="L42" s="48" t="str">
        <f t="shared" si="1"/>
        <v/>
      </c>
      <c r="M42" s="43"/>
      <c r="N42" s="43"/>
    </row>
    <row r="43" spans="2:14" ht="26.4" x14ac:dyDescent="0.25">
      <c r="B43" s="22" t="s">
        <v>53</v>
      </c>
      <c r="C43" s="15" t="s">
        <v>1404</v>
      </c>
      <c r="D43" s="15"/>
      <c r="E43" s="23" t="s">
        <v>34</v>
      </c>
      <c r="F43" s="24">
        <v>75</v>
      </c>
      <c r="G43" s="356"/>
      <c r="H43" s="18">
        <f t="shared" si="2"/>
        <v>0</v>
      </c>
      <c r="K43" s="459">
        <f>G43*3%</f>
        <v>0</v>
      </c>
      <c r="L43" s="48">
        <f t="shared" si="1"/>
        <v>0</v>
      </c>
      <c r="M43" s="43"/>
      <c r="N43" s="43"/>
    </row>
    <row r="44" spans="2:14" x14ac:dyDescent="0.25">
      <c r="B44" s="66"/>
      <c r="C44" s="15"/>
      <c r="D44" s="15"/>
      <c r="E44" s="16"/>
      <c r="F44" s="27"/>
      <c r="G44" s="17"/>
      <c r="H44" s="18" t="str">
        <f>IF(E44="","",F44*G44)</f>
        <v/>
      </c>
      <c r="K44" s="43"/>
      <c r="L44" s="48" t="str">
        <f t="shared" si="1"/>
        <v/>
      </c>
      <c r="M44" s="43"/>
      <c r="N44" s="43"/>
    </row>
    <row r="45" spans="2:14" s="31" customFormat="1" ht="19.5" customHeight="1" x14ac:dyDescent="0.25">
      <c r="B45" s="151" t="str">
        <f>$B$11</f>
        <v>C10.1</v>
      </c>
      <c r="C45" s="33" t="str">
        <f>"TOTAL CARRIED FORWARD"&amp;IF(H45=H$1," TO SUMMARY (Page C"&amp;Page_A&amp;")","")</f>
        <v>TOTAL CARRIED FORWARD TO SUMMARY (Page C57)</v>
      </c>
      <c r="D45" s="33"/>
      <c r="E45" s="34"/>
      <c r="F45" s="35"/>
      <c r="G45" s="34"/>
      <c r="H45" s="36">
        <f>SUM(H10:H44)</f>
        <v>0</v>
      </c>
      <c r="I45" s="37"/>
      <c r="K45" s="43"/>
      <c r="L45" s="36">
        <f>SUM(L10:L44)</f>
        <v>0</v>
      </c>
      <c r="M45" s="43"/>
      <c r="N45" s="43"/>
    </row>
    <row r="46" spans="2:14" x14ac:dyDescent="0.25">
      <c r="K46" s="43"/>
      <c r="L46" s="48" t="str">
        <f t="shared" si="1"/>
        <v/>
      </c>
      <c r="M46" s="43"/>
      <c r="N46" s="43"/>
    </row>
  </sheetData>
  <mergeCells count="4">
    <mergeCell ref="F2:H2"/>
    <mergeCell ref="H5:H8"/>
    <mergeCell ref="B5:G5"/>
    <mergeCell ref="B6:G8"/>
  </mergeCells>
  <printOptions horizontalCentered="1"/>
  <pageMargins left="0.43307086614173229" right="0.31496062992125984" top="0.43307086614173229" bottom="0.62992125984251968" header="0.35433070866141736" footer="0.31496062992125984"/>
  <pageSetup paperSize="9" scale="78"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09649-D269-4FDF-A83A-773BD2CFC521}">
  <sheetPr codeName="Sheet86">
    <tabColor rgb="FF92D050"/>
  </sheetPr>
  <dimension ref="B1:N116"/>
  <sheetViews>
    <sheetView view="pageBreakPreview" zoomScaleNormal="125" zoomScaleSheetLayoutView="100" zoomScalePageLayoutView="125" workbookViewId="0">
      <pane xSplit="5" ySplit="2" topLeftCell="F3" activePane="bottomRight" state="frozen"/>
      <selection activeCell="D114" sqref="D114"/>
      <selection pane="topRight" activeCell="D114" sqref="D114"/>
      <selection pane="bottomLeft" activeCell="D114" sqref="D114"/>
      <selection pane="bottomRight" activeCell="G112" sqref="G112"/>
    </sheetView>
  </sheetViews>
  <sheetFormatPr defaultColWidth="8.6640625" defaultRowHeight="13.2" x14ac:dyDescent="0.25"/>
  <cols>
    <col min="1" max="1" width="0.6640625" style="1" customWidth="1"/>
    <col min="2" max="2" width="11.5546875" style="38" customWidth="1"/>
    <col min="3" max="3" width="45.5546875" style="3" customWidth="1"/>
    <col min="4" max="4" width="3.3320312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1" width="8.6640625" style="1"/>
    <col min="12" max="12" width="10.6640625" style="1" bestFit="1" customWidth="1"/>
    <col min="13" max="16384" width="8.6640625" style="1"/>
  </cols>
  <sheetData>
    <row r="1" spans="2:14" x14ac:dyDescent="0.25">
      <c r="H1" s="234">
        <f>MAX(H9:H500)</f>
        <v>0</v>
      </c>
    </row>
    <row r="2" spans="2:14" x14ac:dyDescent="0.25">
      <c r="B2" s="2" t="str">
        <f>Client1</f>
        <v>Province of KwaZulu-Natal</v>
      </c>
      <c r="F2" s="510" t="str">
        <f>"Contract No. "&amp;ContractNo</f>
        <v>Contract No. ZNB02215/00000/00/HOD/INF/23/T</v>
      </c>
      <c r="G2" s="510"/>
      <c r="H2" s="510"/>
      <c r="K2" s="402"/>
      <c r="L2" s="402">
        <f>MAX(L3:L245)</f>
        <v>33139</v>
      </c>
      <c r="M2" s="402"/>
      <c r="N2" s="403"/>
    </row>
    <row r="3" spans="2:14" x14ac:dyDescent="0.25">
      <c r="B3" s="96" t="str">
        <f>Client2</f>
        <v>Department of Transport</v>
      </c>
      <c r="K3" s="1" t="s">
        <v>1421</v>
      </c>
      <c r="L3" s="1" t="s">
        <v>1422</v>
      </c>
      <c r="M3" s="1" t="s">
        <v>1423</v>
      </c>
      <c r="N3" s="1" t="s">
        <v>1424</v>
      </c>
    </row>
    <row r="4" spans="2:14" x14ac:dyDescent="0.25">
      <c r="B4" s="3"/>
      <c r="K4" s="86"/>
      <c r="L4" s="86"/>
      <c r="M4" s="86"/>
      <c r="N4" s="86"/>
    </row>
    <row r="5" spans="2:14" ht="12.75" customHeight="1" x14ac:dyDescent="0.25">
      <c r="B5" s="507" t="s">
        <v>8</v>
      </c>
      <c r="C5" s="508"/>
      <c r="D5" s="508"/>
      <c r="E5" s="508"/>
      <c r="F5" s="508"/>
      <c r="G5" s="508"/>
      <c r="H5" s="512" t="str">
        <f>"CHAPTER "&amp;B11</f>
        <v>CHAPTER C11.6</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13"/>
      <c r="I6" s="9"/>
    </row>
    <row r="7" spans="2:14" ht="12.75" customHeight="1" x14ac:dyDescent="0.25">
      <c r="B7" s="500"/>
      <c r="C7" s="501"/>
      <c r="D7" s="501"/>
      <c r="E7" s="501"/>
      <c r="F7" s="501"/>
      <c r="G7" s="501"/>
      <c r="H7" s="513"/>
      <c r="I7" s="9"/>
    </row>
    <row r="8" spans="2:14" s="10" customFormat="1" ht="7.5" customHeight="1" x14ac:dyDescent="0.25">
      <c r="B8" s="502"/>
      <c r="C8" s="503"/>
      <c r="D8" s="503"/>
      <c r="E8" s="503"/>
      <c r="F8" s="503"/>
      <c r="G8" s="503"/>
      <c r="H8" s="514"/>
      <c r="I8" s="13"/>
      <c r="K8" s="1"/>
      <c r="L8" s="1"/>
      <c r="M8" s="1"/>
      <c r="N8" s="1"/>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53"/>
      <c r="C10" s="15"/>
      <c r="D10" s="15"/>
      <c r="E10" s="16"/>
      <c r="F10" s="16"/>
      <c r="G10" s="17"/>
      <c r="H10" s="18" t="str">
        <f>IF(E10="","",F10*G10)</f>
        <v/>
      </c>
      <c r="I10" s="19"/>
      <c r="K10" s="17"/>
      <c r="L10" s="17"/>
      <c r="M10" s="17"/>
      <c r="N10" s="17"/>
    </row>
    <row r="11" spans="2:14" x14ac:dyDescent="0.25">
      <c r="B11" s="80" t="s">
        <v>844</v>
      </c>
      <c r="C11" s="21" t="s">
        <v>843</v>
      </c>
      <c r="D11" s="21"/>
      <c r="E11" s="16"/>
      <c r="F11" s="16"/>
      <c r="G11" s="17"/>
      <c r="H11" s="18" t="str">
        <f>IF(E11="","",F11*G11)</f>
        <v/>
      </c>
      <c r="I11" s="19"/>
      <c r="K11" s="43"/>
      <c r="L11" s="43"/>
      <c r="M11" s="43"/>
      <c r="N11" s="43"/>
    </row>
    <row r="12" spans="2:14" x14ac:dyDescent="0.25">
      <c r="B12" s="53"/>
      <c r="C12" s="15"/>
      <c r="D12" s="15"/>
      <c r="E12" s="16"/>
      <c r="F12" s="16"/>
      <c r="G12" s="17"/>
      <c r="H12" s="18" t="str">
        <f>IF(E12="","",F12*G12)</f>
        <v/>
      </c>
      <c r="I12" s="19"/>
      <c r="K12" s="43"/>
      <c r="L12" s="43"/>
      <c r="M12" s="43"/>
      <c r="N12" s="43"/>
    </row>
    <row r="13" spans="2:14" ht="52.8" x14ac:dyDescent="0.25">
      <c r="B13" s="66" t="s">
        <v>842</v>
      </c>
      <c r="C13" s="15" t="s">
        <v>841</v>
      </c>
      <c r="D13" s="15"/>
      <c r="E13" s="16"/>
      <c r="F13" s="16"/>
      <c r="G13" s="17"/>
      <c r="H13" s="18" t="str">
        <f>IF(E13="","",F13*G13)</f>
        <v/>
      </c>
      <c r="I13" s="19"/>
      <c r="K13" s="25"/>
      <c r="L13" s="48" t="str">
        <f t="shared" ref="L13:L46" si="0">IF(K13="","",K13*F13)</f>
        <v/>
      </c>
      <c r="M13" s="25"/>
      <c r="N13" s="25"/>
    </row>
    <row r="14" spans="2:14" x14ac:dyDescent="0.25">
      <c r="B14" s="66"/>
      <c r="C14" s="15"/>
      <c r="D14" s="15"/>
      <c r="E14" s="16"/>
      <c r="F14" s="16"/>
      <c r="G14" s="17"/>
      <c r="H14" s="18" t="str">
        <f>IF(E14="","",F14*G14)</f>
        <v/>
      </c>
      <c r="I14" s="19"/>
      <c r="K14" s="43"/>
      <c r="L14" s="48" t="str">
        <f t="shared" si="0"/>
        <v/>
      </c>
      <c r="M14" s="43"/>
      <c r="N14" s="43"/>
    </row>
    <row r="15" spans="2:14" ht="12" customHeight="1" x14ac:dyDescent="0.25">
      <c r="B15" s="53" t="s">
        <v>840</v>
      </c>
      <c r="C15" s="15" t="s">
        <v>839</v>
      </c>
      <c r="D15" s="15"/>
      <c r="E15" s="23"/>
      <c r="F15" s="27"/>
      <c r="G15" s="67"/>
      <c r="H15" s="26" t="str">
        <f t="shared" ref="H15:H21" si="1">IF(E15="","",F15*G15)</f>
        <v/>
      </c>
      <c r="I15" s="19"/>
      <c r="K15" s="43"/>
      <c r="L15" s="48" t="str">
        <f t="shared" si="0"/>
        <v/>
      </c>
      <c r="M15" s="43"/>
      <c r="N15" s="43"/>
    </row>
    <row r="16" spans="2:14" x14ac:dyDescent="0.25">
      <c r="B16" s="66"/>
      <c r="C16" s="15"/>
      <c r="D16" s="15"/>
      <c r="E16" s="16"/>
      <c r="F16" s="16"/>
      <c r="G16" s="17"/>
      <c r="H16" s="26" t="str">
        <f t="shared" si="1"/>
        <v/>
      </c>
      <c r="I16" s="19"/>
      <c r="K16" s="43"/>
      <c r="L16" s="48" t="str">
        <f t="shared" si="0"/>
        <v/>
      </c>
      <c r="M16" s="43"/>
      <c r="N16" s="43"/>
    </row>
    <row r="17" spans="2:14" ht="13.8" x14ac:dyDescent="0.25">
      <c r="B17" s="53" t="s">
        <v>49</v>
      </c>
      <c r="C17" s="15" t="s">
        <v>985</v>
      </c>
      <c r="D17" s="69" t="s">
        <v>1602</v>
      </c>
      <c r="E17" s="23" t="s">
        <v>600</v>
      </c>
      <c r="F17" s="16">
        <v>10</v>
      </c>
      <c r="G17" s="72"/>
      <c r="H17" s="26">
        <f t="shared" si="1"/>
        <v>0</v>
      </c>
      <c r="I17" s="19"/>
      <c r="K17" s="447">
        <v>74</v>
      </c>
      <c r="L17" s="48">
        <f t="shared" si="0"/>
        <v>740</v>
      </c>
      <c r="M17" s="43"/>
      <c r="N17" s="43"/>
    </row>
    <row r="18" spans="2:14" x14ac:dyDescent="0.25">
      <c r="B18" s="66"/>
      <c r="C18" s="15"/>
      <c r="D18" s="15"/>
      <c r="E18" s="16"/>
      <c r="F18" s="16"/>
      <c r="G18" s="72"/>
      <c r="H18" s="26" t="str">
        <f t="shared" si="1"/>
        <v/>
      </c>
      <c r="I18" s="19"/>
      <c r="K18" s="43"/>
      <c r="L18" s="48" t="str">
        <f t="shared" si="0"/>
        <v/>
      </c>
      <c r="M18" s="43"/>
      <c r="N18" s="43"/>
    </row>
    <row r="19" spans="2:14" ht="13.8" x14ac:dyDescent="0.25">
      <c r="B19" s="53" t="s">
        <v>51</v>
      </c>
      <c r="C19" s="29" t="s">
        <v>986</v>
      </c>
      <c r="D19" s="69" t="s">
        <v>1602</v>
      </c>
      <c r="E19" s="23" t="s">
        <v>600</v>
      </c>
      <c r="F19" s="16">
        <v>80</v>
      </c>
      <c r="G19" s="72"/>
      <c r="H19" s="26">
        <f t="shared" si="1"/>
        <v>0</v>
      </c>
      <c r="I19" s="19"/>
      <c r="K19" s="447">
        <v>111</v>
      </c>
      <c r="L19" s="48">
        <f t="shared" si="0"/>
        <v>8880</v>
      </c>
      <c r="M19" s="43"/>
      <c r="N19" s="43"/>
    </row>
    <row r="20" spans="2:14" x14ac:dyDescent="0.25">
      <c r="B20" s="66"/>
      <c r="C20" s="15"/>
      <c r="D20" s="15"/>
      <c r="E20" s="69"/>
      <c r="F20" s="16"/>
      <c r="G20" s="72"/>
      <c r="H20" s="26" t="str">
        <f t="shared" si="1"/>
        <v/>
      </c>
      <c r="I20" s="19"/>
      <c r="K20" s="43"/>
      <c r="L20" s="48" t="str">
        <f t="shared" si="0"/>
        <v/>
      </c>
      <c r="M20" s="43"/>
      <c r="N20" s="43"/>
    </row>
    <row r="21" spans="2:14" ht="13.8" x14ac:dyDescent="0.25">
      <c r="B21" s="53" t="s">
        <v>65</v>
      </c>
      <c r="C21" s="29" t="s">
        <v>987</v>
      </c>
      <c r="D21" s="69" t="s">
        <v>1602</v>
      </c>
      <c r="E21" s="23" t="s">
        <v>600</v>
      </c>
      <c r="F21" s="16">
        <v>210</v>
      </c>
      <c r="G21" s="75"/>
      <c r="H21" s="26">
        <f t="shared" si="1"/>
        <v>0</v>
      </c>
      <c r="I21" s="19"/>
      <c r="K21" s="447">
        <v>148</v>
      </c>
      <c r="L21" s="48">
        <f t="shared" si="0"/>
        <v>31080</v>
      </c>
      <c r="M21" s="43"/>
      <c r="N21" s="43"/>
    </row>
    <row r="22" spans="2:14" x14ac:dyDescent="0.25">
      <c r="B22" s="66"/>
      <c r="C22" s="15"/>
      <c r="D22" s="15"/>
      <c r="E22" s="16"/>
      <c r="F22" s="16"/>
      <c r="G22" s="72"/>
      <c r="H22" s="26"/>
      <c r="I22" s="19"/>
      <c r="K22" s="43"/>
      <c r="L22" s="48" t="str">
        <f t="shared" si="0"/>
        <v/>
      </c>
      <c r="M22" s="43"/>
      <c r="N22" s="43"/>
    </row>
    <row r="23" spans="2:14" x14ac:dyDescent="0.25">
      <c r="B23" s="53" t="s">
        <v>838</v>
      </c>
      <c r="C23" s="15" t="s">
        <v>837</v>
      </c>
      <c r="D23" s="15"/>
      <c r="E23" s="23"/>
      <c r="F23" s="27"/>
      <c r="G23" s="72"/>
      <c r="H23" s="26" t="str">
        <f t="shared" ref="H23:H37" si="2">IF(E23="","",F23*G23)</f>
        <v/>
      </c>
      <c r="I23" s="71"/>
      <c r="K23" s="43"/>
      <c r="L23" s="48" t="str">
        <f t="shared" si="0"/>
        <v/>
      </c>
      <c r="M23" s="43"/>
      <c r="N23" s="43"/>
    </row>
    <row r="24" spans="2:14" x14ac:dyDescent="0.25">
      <c r="B24" s="66"/>
      <c r="C24" s="15"/>
      <c r="D24" s="15"/>
      <c r="E24" s="16"/>
      <c r="F24" s="27"/>
      <c r="G24" s="72"/>
      <c r="H24" s="26" t="str">
        <f t="shared" si="2"/>
        <v/>
      </c>
      <c r="I24" s="19"/>
      <c r="K24" s="43"/>
      <c r="L24" s="48" t="str">
        <f t="shared" si="0"/>
        <v/>
      </c>
      <c r="M24" s="43"/>
      <c r="N24" s="43"/>
    </row>
    <row r="25" spans="2:14" ht="39.6" x14ac:dyDescent="0.25">
      <c r="B25" s="53" t="s">
        <v>49</v>
      </c>
      <c r="C25" s="15" t="s">
        <v>1148</v>
      </c>
      <c r="D25" s="40" t="s">
        <v>1602</v>
      </c>
      <c r="E25" s="23" t="s">
        <v>44</v>
      </c>
      <c r="F25" s="24">
        <v>30</v>
      </c>
      <c r="G25" s="23"/>
      <c r="H25" s="493">
        <f t="shared" si="2"/>
        <v>0</v>
      </c>
      <c r="I25" s="77"/>
      <c r="K25" s="447">
        <v>74</v>
      </c>
      <c r="L25" s="48">
        <f t="shared" si="0"/>
        <v>2220</v>
      </c>
      <c r="M25" s="43"/>
      <c r="N25" s="43"/>
    </row>
    <row r="26" spans="2:14" x14ac:dyDescent="0.25">
      <c r="B26" s="66"/>
      <c r="C26" s="15"/>
      <c r="D26" s="15"/>
      <c r="E26" s="16"/>
      <c r="F26" s="27"/>
      <c r="G26" s="30"/>
      <c r="H26" s="26" t="str">
        <f t="shared" si="2"/>
        <v/>
      </c>
      <c r="I26" s="71"/>
      <c r="K26" s="43"/>
      <c r="L26" s="48" t="str">
        <f t="shared" si="0"/>
        <v/>
      </c>
      <c r="M26" s="43"/>
      <c r="N26" s="43"/>
    </row>
    <row r="27" spans="2:14" x14ac:dyDescent="0.25">
      <c r="B27" s="53" t="s">
        <v>836</v>
      </c>
      <c r="C27" s="15" t="s">
        <v>835</v>
      </c>
      <c r="D27" s="15"/>
      <c r="E27" s="23"/>
      <c r="F27" s="27"/>
      <c r="G27" s="67"/>
      <c r="H27" s="26" t="str">
        <f t="shared" si="2"/>
        <v/>
      </c>
      <c r="I27" s="19"/>
      <c r="K27" s="43"/>
      <c r="L27" s="48" t="str">
        <f t="shared" si="0"/>
        <v/>
      </c>
      <c r="M27" s="43"/>
      <c r="N27" s="43"/>
    </row>
    <row r="28" spans="2:14" x14ac:dyDescent="0.25">
      <c r="B28" s="66"/>
      <c r="C28" s="15"/>
      <c r="D28" s="15"/>
      <c r="E28" s="16"/>
      <c r="F28" s="16"/>
      <c r="G28" s="17"/>
      <c r="H28" s="26" t="str">
        <f t="shared" si="2"/>
        <v/>
      </c>
      <c r="I28" s="19"/>
      <c r="K28" s="43"/>
      <c r="L28" s="48" t="str">
        <f t="shared" si="0"/>
        <v/>
      </c>
      <c r="M28" s="43"/>
      <c r="N28" s="43"/>
    </row>
    <row r="29" spans="2:14" ht="39.6" x14ac:dyDescent="0.25">
      <c r="B29" s="53" t="s">
        <v>49</v>
      </c>
      <c r="C29" s="15" t="s">
        <v>1148</v>
      </c>
      <c r="D29" s="15"/>
      <c r="E29" s="23" t="s">
        <v>44</v>
      </c>
      <c r="F29" s="16">
        <v>6</v>
      </c>
      <c r="G29" s="72"/>
      <c r="H29" s="26">
        <f t="shared" si="2"/>
        <v>0</v>
      </c>
      <c r="I29" s="19"/>
      <c r="K29" s="447">
        <v>74</v>
      </c>
      <c r="L29" s="48">
        <f t="shared" si="0"/>
        <v>444</v>
      </c>
      <c r="M29" s="43"/>
      <c r="N29" s="43"/>
    </row>
    <row r="30" spans="2:14" x14ac:dyDescent="0.25">
      <c r="B30" s="66"/>
      <c r="C30" s="15"/>
      <c r="D30" s="15"/>
      <c r="E30" s="16"/>
      <c r="F30" s="16"/>
      <c r="G30" s="72"/>
      <c r="H30" s="26" t="str">
        <f t="shared" si="2"/>
        <v/>
      </c>
      <c r="I30" s="19"/>
      <c r="K30" s="43"/>
      <c r="L30" s="48" t="str">
        <f t="shared" si="0"/>
        <v/>
      </c>
      <c r="M30" s="43"/>
      <c r="N30" s="43"/>
    </row>
    <row r="31" spans="2:14" x14ac:dyDescent="0.25">
      <c r="B31" s="53" t="s">
        <v>834</v>
      </c>
      <c r="C31" s="29" t="s">
        <v>833</v>
      </c>
      <c r="D31" s="147"/>
      <c r="E31" s="69"/>
      <c r="F31" s="16"/>
      <c r="G31" s="72"/>
      <c r="H31" s="26" t="str">
        <f t="shared" si="2"/>
        <v/>
      </c>
      <c r="I31" s="19"/>
      <c r="K31" s="43"/>
      <c r="L31" s="48" t="str">
        <f t="shared" si="0"/>
        <v/>
      </c>
      <c r="M31" s="43"/>
      <c r="N31" s="43"/>
    </row>
    <row r="32" spans="2:14" x14ac:dyDescent="0.25">
      <c r="B32" s="66"/>
      <c r="C32" s="28"/>
      <c r="D32" s="146"/>
      <c r="E32" s="69"/>
      <c r="F32" s="16"/>
      <c r="G32" s="72"/>
      <c r="H32" s="26" t="str">
        <f t="shared" si="2"/>
        <v/>
      </c>
      <c r="K32" s="43"/>
      <c r="L32" s="48" t="str">
        <f t="shared" si="0"/>
        <v/>
      </c>
      <c r="M32" s="43"/>
      <c r="N32" s="43"/>
    </row>
    <row r="33" spans="2:14" ht="12" customHeight="1" x14ac:dyDescent="0.25">
      <c r="B33" s="66" t="s">
        <v>49</v>
      </c>
      <c r="C33" s="15" t="s">
        <v>1148</v>
      </c>
      <c r="D33" s="15"/>
      <c r="E33" s="23" t="s">
        <v>44</v>
      </c>
      <c r="F33" s="69">
        <v>20</v>
      </c>
      <c r="G33" s="72"/>
      <c r="H33" s="26">
        <f t="shared" si="2"/>
        <v>0</v>
      </c>
      <c r="K33" s="447">
        <v>74</v>
      </c>
      <c r="L33" s="48">
        <f t="shared" si="0"/>
        <v>1480</v>
      </c>
      <c r="M33" s="43"/>
      <c r="N33" s="43"/>
    </row>
    <row r="34" spans="2:14" x14ac:dyDescent="0.25">
      <c r="B34" s="53"/>
      <c r="C34" s="15"/>
      <c r="D34" s="15"/>
      <c r="E34" s="16"/>
      <c r="F34" s="16"/>
      <c r="G34" s="17"/>
      <c r="H34" s="18" t="str">
        <f t="shared" si="2"/>
        <v/>
      </c>
      <c r="K34" s="43"/>
      <c r="L34" s="48" t="str">
        <f t="shared" si="0"/>
        <v/>
      </c>
      <c r="M34" s="43"/>
      <c r="N34" s="43"/>
    </row>
    <row r="35" spans="2:14" x14ac:dyDescent="0.25">
      <c r="B35" s="53" t="s">
        <v>832</v>
      </c>
      <c r="C35" s="29" t="s">
        <v>831</v>
      </c>
      <c r="D35" s="147"/>
      <c r="E35" s="16"/>
      <c r="F35" s="16"/>
      <c r="G35" s="17"/>
      <c r="H35" s="18" t="str">
        <f t="shared" si="2"/>
        <v/>
      </c>
      <c r="K35" s="43"/>
      <c r="L35" s="48" t="str">
        <f t="shared" si="0"/>
        <v/>
      </c>
      <c r="M35" s="43"/>
      <c r="N35" s="43"/>
    </row>
    <row r="36" spans="2:14" x14ac:dyDescent="0.25">
      <c r="B36" s="53"/>
      <c r="C36" s="15"/>
      <c r="D36" s="15"/>
      <c r="E36" s="16"/>
      <c r="F36" s="16"/>
      <c r="G36" s="17"/>
      <c r="H36" s="18" t="str">
        <f t="shared" si="2"/>
        <v/>
      </c>
      <c r="K36" s="43"/>
      <c r="L36" s="48" t="str">
        <f t="shared" si="0"/>
        <v/>
      </c>
      <c r="M36" s="43"/>
      <c r="N36" s="43"/>
    </row>
    <row r="37" spans="2:14" ht="39.6" x14ac:dyDescent="0.25">
      <c r="B37" s="66" t="s">
        <v>49</v>
      </c>
      <c r="C37" s="15" t="s">
        <v>1148</v>
      </c>
      <c r="D37" s="15"/>
      <c r="E37" s="23" t="s">
        <v>44</v>
      </c>
      <c r="F37" s="16">
        <v>6</v>
      </c>
      <c r="G37" s="17"/>
      <c r="H37" s="18">
        <f t="shared" si="2"/>
        <v>0</v>
      </c>
      <c r="K37" s="447">
        <v>74</v>
      </c>
      <c r="L37" s="48">
        <f t="shared" si="0"/>
        <v>444</v>
      </c>
      <c r="M37" s="43"/>
      <c r="N37" s="43"/>
    </row>
    <row r="38" spans="2:14" x14ac:dyDescent="0.25">
      <c r="B38" s="66"/>
      <c r="C38" s="15"/>
      <c r="D38" s="15"/>
      <c r="E38" s="16"/>
      <c r="F38" s="27"/>
      <c r="G38" s="17"/>
      <c r="H38" s="26"/>
      <c r="K38" s="43"/>
      <c r="L38" s="48" t="str">
        <f t="shared" si="0"/>
        <v/>
      </c>
      <c r="M38" s="43"/>
      <c r="N38" s="43"/>
    </row>
    <row r="39" spans="2:14" x14ac:dyDescent="0.25">
      <c r="B39" s="53" t="s">
        <v>830</v>
      </c>
      <c r="C39" s="15" t="s">
        <v>829</v>
      </c>
      <c r="D39" s="15"/>
      <c r="E39" s="23"/>
      <c r="F39" s="27"/>
      <c r="G39" s="67"/>
      <c r="H39" s="26" t="str">
        <f>IF(E39="","",F39*G39)</f>
        <v/>
      </c>
      <c r="K39" s="43"/>
      <c r="L39" s="48" t="str">
        <f t="shared" si="0"/>
        <v/>
      </c>
      <c r="M39" s="43"/>
      <c r="N39" s="43"/>
    </row>
    <row r="40" spans="2:14" x14ac:dyDescent="0.25">
      <c r="B40" s="66"/>
      <c r="C40" s="15"/>
      <c r="D40" s="15"/>
      <c r="E40" s="16"/>
      <c r="F40" s="27"/>
      <c r="G40" s="70"/>
      <c r="H40" s="26" t="str">
        <f>IF(E40="","",F40*G40)</f>
        <v/>
      </c>
      <c r="K40" s="43"/>
      <c r="L40" s="48" t="str">
        <f t="shared" si="0"/>
        <v/>
      </c>
      <c r="M40" s="43"/>
      <c r="N40" s="43"/>
    </row>
    <row r="41" spans="2:14" x14ac:dyDescent="0.25">
      <c r="B41" s="66" t="s">
        <v>828</v>
      </c>
      <c r="C41" s="15" t="s">
        <v>827</v>
      </c>
      <c r="D41" s="15"/>
      <c r="E41" s="16"/>
      <c r="F41" s="27"/>
      <c r="G41" s="70"/>
      <c r="H41" s="26"/>
      <c r="K41" s="43"/>
      <c r="L41" s="48" t="str">
        <f t="shared" si="0"/>
        <v/>
      </c>
      <c r="M41" s="43"/>
      <c r="N41" s="43"/>
    </row>
    <row r="42" spans="2:14" x14ac:dyDescent="0.25">
      <c r="B42" s="53" t="s">
        <v>49</v>
      </c>
      <c r="C42" s="15" t="s">
        <v>826</v>
      </c>
      <c r="D42" s="15"/>
      <c r="E42" s="23" t="s">
        <v>817</v>
      </c>
      <c r="F42" s="27">
        <f>(SUM(F17:F21)*0.8)</f>
        <v>240</v>
      </c>
      <c r="G42" s="17"/>
      <c r="H42" s="26">
        <f t="shared" ref="H42:H54" si="3">IF(E42="","",F42*G42)</f>
        <v>0</v>
      </c>
      <c r="K42" s="447"/>
      <c r="L42" s="48" t="str">
        <f t="shared" si="0"/>
        <v/>
      </c>
      <c r="M42" s="43"/>
      <c r="N42" s="43"/>
    </row>
    <row r="43" spans="2:14" x14ac:dyDescent="0.25">
      <c r="B43" s="66"/>
      <c r="C43" s="15"/>
      <c r="D43" s="15"/>
      <c r="E43" s="16"/>
      <c r="F43" s="27"/>
      <c r="G43" s="30"/>
      <c r="H43" s="26" t="str">
        <f t="shared" si="3"/>
        <v/>
      </c>
      <c r="K43" s="43"/>
      <c r="L43" s="48" t="str">
        <f t="shared" si="0"/>
        <v/>
      </c>
      <c r="M43" s="43"/>
      <c r="N43" s="43"/>
    </row>
    <row r="44" spans="2:14" ht="26.4" x14ac:dyDescent="0.25">
      <c r="B44" s="53" t="s">
        <v>825</v>
      </c>
      <c r="C44" s="15" t="s">
        <v>824</v>
      </c>
      <c r="D44" s="15"/>
      <c r="E44" s="23"/>
      <c r="F44" s="27"/>
      <c r="G44" s="30"/>
      <c r="H44" s="26" t="str">
        <f t="shared" si="3"/>
        <v/>
      </c>
      <c r="K44" s="43"/>
      <c r="L44" s="48" t="str">
        <f t="shared" si="0"/>
        <v/>
      </c>
      <c r="M44" s="43"/>
      <c r="N44" s="43"/>
    </row>
    <row r="45" spans="2:14" x14ac:dyDescent="0.25">
      <c r="B45" s="66"/>
      <c r="C45" s="15"/>
      <c r="D45" s="15"/>
      <c r="E45" s="16"/>
      <c r="F45" s="27"/>
      <c r="G45" s="30"/>
      <c r="H45" s="26" t="str">
        <f t="shared" si="3"/>
        <v/>
      </c>
      <c r="K45" s="43"/>
      <c r="L45" s="48" t="str">
        <f t="shared" si="0"/>
        <v/>
      </c>
      <c r="M45" s="43"/>
      <c r="N45" s="43"/>
    </row>
    <row r="46" spans="2:14" s="5" customFormat="1" x14ac:dyDescent="0.25">
      <c r="B46" s="53" t="s">
        <v>49</v>
      </c>
      <c r="C46" s="15" t="s">
        <v>823</v>
      </c>
      <c r="D46" s="15"/>
      <c r="E46" s="23" t="s">
        <v>817</v>
      </c>
      <c r="F46" s="27">
        <f>(SUM(F17:F21)*0.2)</f>
        <v>60</v>
      </c>
      <c r="G46" s="72"/>
      <c r="H46" s="26">
        <f t="shared" si="3"/>
        <v>0</v>
      </c>
      <c r="J46" s="1"/>
      <c r="K46" s="447"/>
      <c r="L46" s="48" t="str">
        <f t="shared" si="0"/>
        <v/>
      </c>
      <c r="M46" s="43"/>
      <c r="N46" s="43"/>
    </row>
    <row r="47" spans="2:14" s="5" customFormat="1" x14ac:dyDescent="0.25">
      <c r="B47" s="66"/>
      <c r="C47" s="15"/>
      <c r="D47" s="15"/>
      <c r="E47" s="16"/>
      <c r="F47" s="16"/>
      <c r="G47" s="17" t="s">
        <v>1556</v>
      </c>
      <c r="H47" s="26" t="str">
        <f t="shared" si="3"/>
        <v/>
      </c>
      <c r="J47" s="1"/>
      <c r="K47" s="43"/>
      <c r="L47" s="48" t="str">
        <f t="shared" ref="L47:L110" si="4">IF(K47="","",K47*F47)</f>
        <v/>
      </c>
      <c r="M47" s="43"/>
      <c r="N47" s="43"/>
    </row>
    <row r="48" spans="2:14" s="5" customFormat="1" ht="37.5" customHeight="1" x14ac:dyDescent="0.25">
      <c r="B48" s="53" t="s">
        <v>822</v>
      </c>
      <c r="C48" s="15" t="s">
        <v>821</v>
      </c>
      <c r="D48" s="15"/>
      <c r="E48" s="23"/>
      <c r="F48" s="16"/>
      <c r="G48" s="72" t="s">
        <v>1556</v>
      </c>
      <c r="H48" s="26" t="str">
        <f t="shared" si="3"/>
        <v/>
      </c>
      <c r="J48" s="1"/>
      <c r="K48" s="43"/>
      <c r="L48" s="48" t="str">
        <f t="shared" si="4"/>
        <v/>
      </c>
      <c r="M48" s="43"/>
      <c r="N48" s="43"/>
    </row>
    <row r="49" spans="2:14" s="5" customFormat="1" x14ac:dyDescent="0.25">
      <c r="B49" s="66"/>
      <c r="C49" s="15"/>
      <c r="D49" s="15"/>
      <c r="E49" s="16"/>
      <c r="F49" s="16"/>
      <c r="G49" s="72" t="s">
        <v>1556</v>
      </c>
      <c r="H49" s="26" t="str">
        <f t="shared" si="3"/>
        <v/>
      </c>
      <c r="J49" s="1"/>
      <c r="K49" s="43"/>
      <c r="L49" s="48" t="str">
        <f t="shared" si="4"/>
        <v/>
      </c>
      <c r="M49" s="43"/>
      <c r="N49" s="43"/>
    </row>
    <row r="50" spans="2:14" s="5" customFormat="1" x14ac:dyDescent="0.25">
      <c r="B50" s="53" t="s">
        <v>820</v>
      </c>
      <c r="C50" s="15" t="s">
        <v>1149</v>
      </c>
      <c r="D50" s="15"/>
      <c r="E50" s="23"/>
      <c r="F50" s="16"/>
      <c r="G50" s="75"/>
      <c r="H50" s="26" t="str">
        <f t="shared" si="3"/>
        <v/>
      </c>
      <c r="J50" s="1"/>
      <c r="K50" s="43"/>
      <c r="L50" s="48" t="str">
        <f t="shared" si="4"/>
        <v/>
      </c>
      <c r="M50" s="43"/>
      <c r="N50" s="43"/>
    </row>
    <row r="51" spans="2:14" s="5" customFormat="1" x14ac:dyDescent="0.25">
      <c r="B51" s="53"/>
      <c r="C51" s="216"/>
      <c r="D51" s="216"/>
      <c r="E51" s="215"/>
      <c r="F51" s="16"/>
      <c r="G51" s="75"/>
      <c r="H51" s="26" t="str">
        <f t="shared" si="3"/>
        <v/>
      </c>
      <c r="J51" s="1"/>
      <c r="K51" s="43"/>
      <c r="L51" s="48" t="str">
        <f t="shared" si="4"/>
        <v/>
      </c>
      <c r="M51" s="43"/>
      <c r="N51" s="43"/>
    </row>
    <row r="52" spans="2:14" s="5" customFormat="1" x14ac:dyDescent="0.25">
      <c r="B52" s="53"/>
      <c r="C52" s="214" t="s">
        <v>1150</v>
      </c>
      <c r="D52" s="214"/>
      <c r="E52" s="215" t="s">
        <v>6</v>
      </c>
      <c r="F52" s="16">
        <v>828</v>
      </c>
      <c r="G52" s="75"/>
      <c r="H52" s="26">
        <f t="shared" si="3"/>
        <v>0</v>
      </c>
      <c r="J52" s="1"/>
      <c r="K52" s="447">
        <v>14.8</v>
      </c>
      <c r="L52" s="48">
        <f t="shared" si="4"/>
        <v>12254.400000000001</v>
      </c>
      <c r="M52" s="43"/>
      <c r="N52" s="43"/>
    </row>
    <row r="53" spans="2:14" s="5" customFormat="1" x14ac:dyDescent="0.25">
      <c r="B53" s="53"/>
      <c r="C53" s="214"/>
      <c r="D53" s="214"/>
      <c r="E53" s="215"/>
      <c r="F53" s="16"/>
      <c r="G53" s="75"/>
      <c r="H53" s="26" t="str">
        <f t="shared" si="3"/>
        <v/>
      </c>
      <c r="J53" s="1"/>
      <c r="K53" s="43"/>
      <c r="L53" s="48" t="str">
        <f t="shared" si="4"/>
        <v/>
      </c>
      <c r="M53" s="43"/>
      <c r="N53" s="43"/>
    </row>
    <row r="54" spans="2:14" s="5" customFormat="1" x14ac:dyDescent="0.25">
      <c r="B54" s="53"/>
      <c r="C54" s="214" t="s">
        <v>1151</v>
      </c>
      <c r="D54" s="214"/>
      <c r="E54" s="215" t="s">
        <v>6</v>
      </c>
      <c r="F54" s="16">
        <v>40</v>
      </c>
      <c r="G54" s="75"/>
      <c r="H54" s="26">
        <f t="shared" si="3"/>
        <v>0</v>
      </c>
      <c r="J54" s="1"/>
      <c r="K54" s="447">
        <v>14.8</v>
      </c>
      <c r="L54" s="48">
        <f t="shared" si="4"/>
        <v>592</v>
      </c>
      <c r="M54" s="43"/>
      <c r="N54" s="43"/>
    </row>
    <row r="55" spans="2:14" s="5" customFormat="1" x14ac:dyDescent="0.25">
      <c r="B55" s="53"/>
      <c r="C55" s="214"/>
      <c r="D55" s="214"/>
      <c r="E55" s="215"/>
      <c r="F55" s="16"/>
      <c r="G55" s="75"/>
      <c r="H55" s="26"/>
      <c r="J55" s="1"/>
      <c r="K55" s="447"/>
      <c r="L55" s="48" t="str">
        <f t="shared" si="4"/>
        <v/>
      </c>
      <c r="M55" s="43"/>
      <c r="N55" s="43"/>
    </row>
    <row r="56" spans="2:14" s="5" customFormat="1" x14ac:dyDescent="0.25">
      <c r="B56" s="53"/>
      <c r="C56" s="214"/>
      <c r="D56" s="214"/>
      <c r="E56" s="215"/>
      <c r="F56" s="16"/>
      <c r="G56" s="75"/>
      <c r="H56" s="26" t="str">
        <f>IF(E56="","",F56*G56)</f>
        <v/>
      </c>
      <c r="J56" s="1"/>
      <c r="K56" s="447"/>
      <c r="L56" s="48" t="str">
        <f t="shared" si="4"/>
        <v/>
      </c>
      <c r="M56" s="43"/>
      <c r="N56" s="43"/>
    </row>
    <row r="57" spans="2:14" s="5" customFormat="1" x14ac:dyDescent="0.25">
      <c r="B57" s="53" t="s">
        <v>819</v>
      </c>
      <c r="C57" s="15" t="s">
        <v>751</v>
      </c>
      <c r="D57" s="15"/>
      <c r="E57" s="23"/>
      <c r="F57" s="16"/>
      <c r="G57" s="72"/>
      <c r="H57" s="26" t="str">
        <f>IF(E57="","",F57*G57)</f>
        <v/>
      </c>
      <c r="J57" s="1"/>
      <c r="K57" s="43"/>
      <c r="L57" s="48" t="str">
        <f t="shared" si="4"/>
        <v/>
      </c>
      <c r="M57" s="43"/>
      <c r="N57" s="43"/>
    </row>
    <row r="58" spans="2:14" s="5" customFormat="1" x14ac:dyDescent="0.25">
      <c r="B58" s="66"/>
      <c r="C58" s="15"/>
      <c r="D58" s="15"/>
      <c r="E58" s="16"/>
      <c r="F58" s="16"/>
      <c r="G58" s="72"/>
      <c r="H58" s="26" t="str">
        <f>IF(E58="","",F58*G58)</f>
        <v/>
      </c>
      <c r="J58" s="1"/>
      <c r="K58" s="43"/>
      <c r="L58" s="48" t="str">
        <f t="shared" si="4"/>
        <v/>
      </c>
      <c r="M58" s="43"/>
      <c r="N58" s="43"/>
    </row>
    <row r="59" spans="2:14" s="5" customFormat="1" ht="26.4" x14ac:dyDescent="0.25">
      <c r="B59" s="53" t="s">
        <v>818</v>
      </c>
      <c r="C59" s="15" t="s">
        <v>1137</v>
      </c>
      <c r="D59" s="15"/>
      <c r="E59" s="23" t="s">
        <v>44</v>
      </c>
      <c r="F59" s="69">
        <v>7</v>
      </c>
      <c r="G59" s="72"/>
      <c r="H59" s="26">
        <f>IF(E59="","",F59*G59)</f>
        <v>0</v>
      </c>
      <c r="J59" s="1"/>
      <c r="K59" s="459">
        <f>G59*10%</f>
        <v>0</v>
      </c>
      <c r="L59" s="48">
        <f t="shared" si="4"/>
        <v>0</v>
      </c>
      <c r="M59" s="43"/>
      <c r="N59" s="43"/>
    </row>
    <row r="60" spans="2:14" s="5" customFormat="1" x14ac:dyDescent="0.25">
      <c r="B60" s="53"/>
      <c r="C60" s="217"/>
      <c r="D60" s="217"/>
      <c r="E60" s="218"/>
      <c r="F60" s="219"/>
      <c r="G60" s="220"/>
      <c r="H60" s="26"/>
      <c r="J60" s="1"/>
      <c r="K60" s="43"/>
      <c r="L60" s="48" t="str">
        <f t="shared" si="4"/>
        <v/>
      </c>
      <c r="M60" s="43"/>
      <c r="N60" s="43"/>
    </row>
    <row r="61" spans="2:14" s="5" customFormat="1" x14ac:dyDescent="0.25">
      <c r="B61" s="53"/>
      <c r="C61" s="217"/>
      <c r="D61" s="217"/>
      <c r="E61" s="218"/>
      <c r="F61" s="219"/>
      <c r="G61" s="220"/>
      <c r="H61" s="26"/>
      <c r="J61" s="1"/>
      <c r="K61" s="43"/>
      <c r="L61" s="48" t="str">
        <f t="shared" si="4"/>
        <v/>
      </c>
      <c r="M61" s="43"/>
      <c r="N61" s="43"/>
    </row>
    <row r="62" spans="2:14" s="5" customFormat="1" x14ac:dyDescent="0.25">
      <c r="B62" s="53"/>
      <c r="C62" s="217"/>
      <c r="D62" s="217"/>
      <c r="E62" s="218"/>
      <c r="F62" s="219"/>
      <c r="G62" s="220"/>
      <c r="H62" s="26"/>
      <c r="J62" s="1"/>
      <c r="K62" s="43"/>
      <c r="L62" s="48" t="str">
        <f t="shared" si="4"/>
        <v/>
      </c>
      <c r="M62" s="43"/>
      <c r="N62" s="43"/>
    </row>
    <row r="63" spans="2:14" s="31" customFormat="1" ht="19.5" customHeight="1" x14ac:dyDescent="0.25">
      <c r="B63" s="151" t="str">
        <f>$B$11</f>
        <v>C11.6</v>
      </c>
      <c r="C63" s="33" t="s">
        <v>12</v>
      </c>
      <c r="D63" s="33"/>
      <c r="E63" s="34"/>
      <c r="F63" s="35"/>
      <c r="G63" s="34"/>
      <c r="H63" s="36">
        <f>SUM(H10:H54)</f>
        <v>0</v>
      </c>
      <c r="I63" s="37"/>
      <c r="J63" s="1"/>
      <c r="K63" s="43"/>
      <c r="L63" s="48" t="str">
        <f t="shared" si="4"/>
        <v/>
      </c>
      <c r="M63" s="43"/>
      <c r="N63" s="43"/>
    </row>
    <row r="64" spans="2:14" x14ac:dyDescent="0.25">
      <c r="B64" s="498" t="str">
        <f>Client1</f>
        <v>Province of KwaZulu-Natal</v>
      </c>
      <c r="C64" s="498"/>
      <c r="D64" s="498"/>
      <c r="E64" s="498"/>
      <c r="F64" s="496" t="str">
        <f>"Contract No. "&amp;ContractNo</f>
        <v>Contract No. ZNB02215/00000/00/HOD/INF/23/T</v>
      </c>
      <c r="G64" s="496"/>
      <c r="H64" s="496"/>
      <c r="K64" s="43"/>
      <c r="L64" s="48" t="str">
        <f t="shared" si="4"/>
        <v/>
      </c>
      <c r="M64" s="43"/>
      <c r="N64" s="43"/>
    </row>
    <row r="65" spans="2:14" x14ac:dyDescent="0.25">
      <c r="B65" s="498" t="str">
        <f>Client2</f>
        <v>Department of Transport</v>
      </c>
      <c r="C65" s="498"/>
      <c r="D65" s="498"/>
      <c r="E65" s="498"/>
      <c r="F65" s="496"/>
      <c r="G65" s="496"/>
      <c r="H65" s="496"/>
      <c r="K65" s="43"/>
      <c r="L65" s="48" t="str">
        <f t="shared" si="4"/>
        <v/>
      </c>
      <c r="M65" s="43"/>
      <c r="N65" s="43"/>
    </row>
    <row r="66" spans="2:14" x14ac:dyDescent="0.25">
      <c r="B66" s="499"/>
      <c r="C66" s="499"/>
      <c r="D66" s="499"/>
      <c r="E66" s="499"/>
      <c r="F66" s="497"/>
      <c r="G66" s="497"/>
      <c r="H66" s="497"/>
      <c r="K66" s="43"/>
      <c r="L66" s="48" t="str">
        <f t="shared" si="4"/>
        <v/>
      </c>
      <c r="M66" s="43"/>
      <c r="N66" s="43"/>
    </row>
    <row r="67" spans="2:14" x14ac:dyDescent="0.25">
      <c r="B67" s="507" t="s">
        <v>8</v>
      </c>
      <c r="C67" s="508"/>
      <c r="D67" s="508"/>
      <c r="E67" s="508"/>
      <c r="F67" s="508"/>
      <c r="G67" s="508"/>
      <c r="H67" s="509" t="str">
        <f>$H$5</f>
        <v>CHAPTER C11.6</v>
      </c>
      <c r="I67" s="6"/>
      <c r="K67" s="43"/>
      <c r="L67" s="48" t="str">
        <f t="shared" si="4"/>
        <v/>
      </c>
      <c r="M67" s="43"/>
      <c r="N67" s="43"/>
    </row>
    <row r="68" spans="2:14" x14ac:dyDescent="0.25">
      <c r="B68" s="500" t="str">
        <f>ContractDescription</f>
        <v>UPGRADING OF MAIN ROAD P8/3 FROM GRAVEL TO BLACKTOP BETWEEN KM 17.560 AND KM 24.221 IN THE PIETERMARITZBURG REGION</v>
      </c>
      <c r="C68" s="501"/>
      <c r="D68" s="501"/>
      <c r="E68" s="501"/>
      <c r="F68" s="501"/>
      <c r="G68" s="501"/>
      <c r="H68" s="496"/>
      <c r="I68" s="9"/>
      <c r="K68" s="43"/>
      <c r="L68" s="48" t="str">
        <f t="shared" si="4"/>
        <v/>
      </c>
      <c r="M68" s="43"/>
      <c r="N68" s="43"/>
    </row>
    <row r="69" spans="2:14" x14ac:dyDescent="0.25">
      <c r="B69" s="500"/>
      <c r="C69" s="501"/>
      <c r="D69" s="501"/>
      <c r="E69" s="501"/>
      <c r="F69" s="501"/>
      <c r="G69" s="501"/>
      <c r="H69" s="496"/>
      <c r="I69" s="9"/>
      <c r="K69" s="43"/>
      <c r="L69" s="48" t="str">
        <f t="shared" si="4"/>
        <v/>
      </c>
      <c r="M69" s="43"/>
      <c r="N69" s="43"/>
    </row>
    <row r="70" spans="2:14" x14ac:dyDescent="0.25">
      <c r="B70" s="502"/>
      <c r="C70" s="503"/>
      <c r="D70" s="503"/>
      <c r="E70" s="503"/>
      <c r="F70" s="503"/>
      <c r="G70" s="503"/>
      <c r="H70" s="497"/>
      <c r="I70" s="9"/>
      <c r="K70" s="43"/>
      <c r="L70" s="48" t="str">
        <f t="shared" si="4"/>
        <v/>
      </c>
      <c r="M70" s="43"/>
      <c r="N70" s="43"/>
    </row>
    <row r="71" spans="2:14" s="10" customFormat="1" ht="25.2" customHeight="1" x14ac:dyDescent="0.25">
      <c r="B71" s="81" t="s">
        <v>0</v>
      </c>
      <c r="C71" s="12" t="s">
        <v>1</v>
      </c>
      <c r="D71" s="12" t="s">
        <v>1602</v>
      </c>
      <c r="E71" s="12" t="s">
        <v>2</v>
      </c>
      <c r="F71" s="12" t="s">
        <v>3</v>
      </c>
      <c r="G71" s="12" t="s">
        <v>4</v>
      </c>
      <c r="H71" s="12" t="s">
        <v>5</v>
      </c>
      <c r="I71" s="13"/>
      <c r="J71" s="1"/>
      <c r="K71" s="43"/>
      <c r="L71" s="48" t="str">
        <f t="shared" si="4"/>
        <v/>
      </c>
      <c r="M71" s="43"/>
      <c r="N71" s="43"/>
    </row>
    <row r="72" spans="2:14" s="31" customFormat="1" ht="19.5" customHeight="1" x14ac:dyDescent="0.25">
      <c r="B72" s="87"/>
      <c r="C72" s="33" t="s">
        <v>37</v>
      </c>
      <c r="D72" s="33"/>
      <c r="E72" s="34"/>
      <c r="F72" s="35"/>
      <c r="G72" s="34"/>
      <c r="H72" s="36">
        <f>H63</f>
        <v>0</v>
      </c>
      <c r="I72" s="37"/>
      <c r="J72" s="1"/>
      <c r="K72" s="43"/>
      <c r="L72" s="48" t="str">
        <f t="shared" si="4"/>
        <v/>
      </c>
      <c r="M72" s="43"/>
      <c r="N72" s="43"/>
    </row>
    <row r="73" spans="2:14" s="5" customFormat="1" x14ac:dyDescent="0.25">
      <c r="B73" s="66"/>
      <c r="C73" s="15"/>
      <c r="D73" s="15"/>
      <c r="E73" s="16"/>
      <c r="F73" s="27"/>
      <c r="G73" s="17"/>
      <c r="H73" s="26"/>
      <c r="J73" s="1"/>
      <c r="K73" s="43"/>
      <c r="L73" s="48" t="str">
        <f t="shared" si="4"/>
        <v/>
      </c>
      <c r="M73" s="43"/>
      <c r="N73" s="43"/>
    </row>
    <row r="74" spans="2:14" s="5" customFormat="1" ht="26.4" x14ac:dyDescent="0.25">
      <c r="B74" s="53" t="s">
        <v>816</v>
      </c>
      <c r="C74" s="29" t="s">
        <v>815</v>
      </c>
      <c r="D74" s="147"/>
      <c r="E74" s="69"/>
      <c r="F74" s="16"/>
      <c r="G74" s="72"/>
      <c r="H74" s="26" t="str">
        <f t="shared" ref="H74:H90" si="5">IF(E74="","",F74*G74)</f>
        <v/>
      </c>
      <c r="J74" s="1"/>
      <c r="K74" s="43"/>
      <c r="L74" s="48" t="str">
        <f t="shared" si="4"/>
        <v/>
      </c>
      <c r="M74" s="43"/>
      <c r="N74" s="43"/>
    </row>
    <row r="75" spans="2:14" s="5" customFormat="1" x14ac:dyDescent="0.25">
      <c r="B75" s="66"/>
      <c r="C75" s="28"/>
      <c r="D75" s="146"/>
      <c r="E75" s="69"/>
      <c r="F75" s="16"/>
      <c r="G75" s="72"/>
      <c r="H75" s="26" t="str">
        <f t="shared" si="5"/>
        <v/>
      </c>
      <c r="J75" s="1"/>
      <c r="K75" s="43"/>
      <c r="L75" s="48" t="str">
        <f t="shared" si="4"/>
        <v/>
      </c>
      <c r="M75" s="43"/>
      <c r="N75" s="43"/>
    </row>
    <row r="76" spans="2:14" s="5" customFormat="1" ht="13.8" x14ac:dyDescent="0.25">
      <c r="B76" s="66" t="s">
        <v>814</v>
      </c>
      <c r="C76" s="15" t="s">
        <v>813</v>
      </c>
      <c r="D76" s="40" t="s">
        <v>1602</v>
      </c>
      <c r="E76" s="23" t="s">
        <v>601</v>
      </c>
      <c r="F76" s="16">
        <v>30</v>
      </c>
      <c r="G76" s="72"/>
      <c r="H76" s="26">
        <f t="shared" si="5"/>
        <v>0</v>
      </c>
      <c r="J76" s="1"/>
      <c r="K76" s="43">
        <f>_Excavation</f>
        <v>134</v>
      </c>
      <c r="L76" s="48">
        <f t="shared" si="4"/>
        <v>4020</v>
      </c>
      <c r="M76" s="43"/>
      <c r="N76" s="43"/>
    </row>
    <row r="77" spans="2:14" s="5" customFormat="1" x14ac:dyDescent="0.25">
      <c r="B77" s="66"/>
      <c r="C77" s="15"/>
      <c r="D77" s="15"/>
      <c r="E77" s="16"/>
      <c r="F77" s="16"/>
      <c r="G77" s="72"/>
      <c r="H77" s="26" t="str">
        <f t="shared" si="5"/>
        <v/>
      </c>
      <c r="J77" s="1"/>
      <c r="K77" s="43"/>
      <c r="L77" s="48" t="str">
        <f t="shared" si="4"/>
        <v/>
      </c>
      <c r="M77" s="43"/>
      <c r="N77" s="43"/>
    </row>
    <row r="78" spans="2:14" s="5" customFormat="1" ht="39.6" x14ac:dyDescent="0.25">
      <c r="B78" s="91" t="s">
        <v>812</v>
      </c>
      <c r="C78" s="15" t="s">
        <v>811</v>
      </c>
      <c r="D78" s="40" t="s">
        <v>1602</v>
      </c>
      <c r="E78" s="23" t="s">
        <v>601</v>
      </c>
      <c r="F78" s="16">
        <v>35</v>
      </c>
      <c r="G78" s="17"/>
      <c r="H78" s="26">
        <f t="shared" si="5"/>
        <v>0</v>
      </c>
      <c r="J78" s="1"/>
      <c r="K78" s="43">
        <f>_Backfill+_Excavation</f>
        <v>179</v>
      </c>
      <c r="L78" s="48">
        <f t="shared" si="4"/>
        <v>6265</v>
      </c>
      <c r="M78" s="43"/>
      <c r="N78" s="43"/>
    </row>
    <row r="79" spans="2:14" s="5" customFormat="1" x14ac:dyDescent="0.25">
      <c r="B79" s="53"/>
      <c r="C79" s="15"/>
      <c r="D79" s="15"/>
      <c r="E79" s="16"/>
      <c r="F79" s="16"/>
      <c r="G79" s="17"/>
      <c r="H79" s="18" t="str">
        <f t="shared" si="5"/>
        <v/>
      </c>
      <c r="J79" s="1"/>
      <c r="K79" s="43"/>
      <c r="L79" s="48" t="str">
        <f t="shared" si="4"/>
        <v/>
      </c>
      <c r="M79" s="43"/>
      <c r="N79" s="43"/>
    </row>
    <row r="80" spans="2:14" s="5" customFormat="1" ht="26.4" x14ac:dyDescent="0.25">
      <c r="B80" s="91" t="s">
        <v>810</v>
      </c>
      <c r="C80" s="15" t="s">
        <v>809</v>
      </c>
      <c r="D80" s="15"/>
      <c r="E80" s="23" t="s">
        <v>601</v>
      </c>
      <c r="F80" s="16">
        <v>14</v>
      </c>
      <c r="G80" s="17"/>
      <c r="H80" s="18">
        <f t="shared" si="5"/>
        <v>0</v>
      </c>
      <c r="J80" s="1"/>
      <c r="K80" s="43">
        <f>_Mix</f>
        <v>348</v>
      </c>
      <c r="L80" s="48">
        <f t="shared" si="4"/>
        <v>4872</v>
      </c>
      <c r="M80" s="43"/>
      <c r="N80" s="43"/>
    </row>
    <row r="81" spans="2:14" s="5" customFormat="1" x14ac:dyDescent="0.25">
      <c r="B81" s="53"/>
      <c r="C81" s="15"/>
      <c r="D81" s="15"/>
      <c r="E81" s="16"/>
      <c r="F81" s="16"/>
      <c r="G81" s="17"/>
      <c r="H81" s="18" t="str">
        <f t="shared" si="5"/>
        <v/>
      </c>
      <c r="J81" s="1"/>
      <c r="K81" s="43"/>
      <c r="L81" s="48" t="str">
        <f t="shared" si="4"/>
        <v/>
      </c>
      <c r="M81" s="43"/>
      <c r="N81" s="43"/>
    </row>
    <row r="82" spans="2:14" s="5" customFormat="1" ht="13.8" x14ac:dyDescent="0.25">
      <c r="B82" s="53" t="s">
        <v>808</v>
      </c>
      <c r="C82" s="15" t="s">
        <v>807</v>
      </c>
      <c r="D82" s="15"/>
      <c r="E82" s="23" t="s">
        <v>601</v>
      </c>
      <c r="F82" s="16">
        <v>4</v>
      </c>
      <c r="G82" s="17"/>
      <c r="H82" s="18">
        <f t="shared" si="5"/>
        <v>0</v>
      </c>
      <c r="J82" s="1"/>
      <c r="K82" s="43"/>
      <c r="L82" s="48" t="str">
        <f t="shared" si="4"/>
        <v/>
      </c>
      <c r="M82" s="43"/>
      <c r="N82" s="43"/>
    </row>
    <row r="83" spans="2:14" s="5" customFormat="1" x14ac:dyDescent="0.25">
      <c r="B83" s="66"/>
      <c r="C83" s="15"/>
      <c r="D83" s="15"/>
      <c r="E83" s="16"/>
      <c r="F83" s="16"/>
      <c r="G83" s="17"/>
      <c r="H83" s="18" t="str">
        <f t="shared" si="5"/>
        <v/>
      </c>
      <c r="J83" s="1"/>
      <c r="K83" s="43"/>
      <c r="L83" s="48" t="str">
        <f t="shared" si="4"/>
        <v/>
      </c>
      <c r="M83" s="43"/>
      <c r="N83" s="43"/>
    </row>
    <row r="84" spans="2:14" s="5" customFormat="1" ht="26.4" x14ac:dyDescent="0.25">
      <c r="B84" s="53" t="s">
        <v>806</v>
      </c>
      <c r="C84" s="15" t="s">
        <v>805</v>
      </c>
      <c r="D84" s="15"/>
      <c r="E84" s="23"/>
      <c r="F84" s="27"/>
      <c r="G84" s="67"/>
      <c r="H84" s="26" t="str">
        <f t="shared" si="5"/>
        <v/>
      </c>
      <c r="J84" s="1"/>
      <c r="K84" s="43"/>
      <c r="L84" s="48" t="str">
        <f t="shared" si="4"/>
        <v/>
      </c>
      <c r="M84" s="43"/>
      <c r="N84" s="43"/>
    </row>
    <row r="85" spans="2:14" s="5" customFormat="1" x14ac:dyDescent="0.25">
      <c r="B85" s="66"/>
      <c r="C85" s="15"/>
      <c r="D85" s="15"/>
      <c r="E85" s="16"/>
      <c r="F85" s="27"/>
      <c r="G85" s="17"/>
      <c r="H85" s="26" t="str">
        <f t="shared" si="5"/>
        <v/>
      </c>
      <c r="J85" s="1"/>
      <c r="K85" s="43"/>
      <c r="L85" s="48" t="str">
        <f t="shared" si="4"/>
        <v/>
      </c>
      <c r="M85" s="43"/>
      <c r="N85" s="43"/>
    </row>
    <row r="86" spans="2:14" s="5" customFormat="1" ht="13.8" x14ac:dyDescent="0.25">
      <c r="B86" s="53" t="s">
        <v>804</v>
      </c>
      <c r="C86" s="15" t="s">
        <v>985</v>
      </c>
      <c r="D86" s="15"/>
      <c r="E86" s="23" t="s">
        <v>600</v>
      </c>
      <c r="F86" s="27">
        <v>2</v>
      </c>
      <c r="G86" s="70"/>
      <c r="H86" s="26">
        <f t="shared" si="5"/>
        <v>0</v>
      </c>
      <c r="J86" s="1"/>
      <c r="K86" s="43">
        <v>74</v>
      </c>
      <c r="L86" s="48">
        <f t="shared" si="4"/>
        <v>148</v>
      </c>
      <c r="M86" s="43"/>
      <c r="N86" s="43"/>
    </row>
    <row r="87" spans="2:14" s="5" customFormat="1" x14ac:dyDescent="0.25">
      <c r="B87" s="53"/>
      <c r="C87" s="15"/>
      <c r="D87" s="15"/>
      <c r="E87" s="16"/>
      <c r="F87" s="27"/>
      <c r="G87" s="70"/>
      <c r="H87" s="26" t="str">
        <f t="shared" si="5"/>
        <v/>
      </c>
      <c r="J87" s="1"/>
      <c r="K87" s="43"/>
      <c r="L87" s="48" t="str">
        <f t="shared" si="4"/>
        <v/>
      </c>
      <c r="M87" s="43"/>
      <c r="N87" s="43"/>
    </row>
    <row r="88" spans="2:14" s="5" customFormat="1" ht="13.8" x14ac:dyDescent="0.25">
      <c r="B88" s="53" t="s">
        <v>803</v>
      </c>
      <c r="C88" s="29" t="s">
        <v>986</v>
      </c>
      <c r="D88" s="147"/>
      <c r="E88" s="23" t="s">
        <v>600</v>
      </c>
      <c r="F88" s="27">
        <v>4</v>
      </c>
      <c r="G88" s="72"/>
      <c r="H88" s="26">
        <f t="shared" si="5"/>
        <v>0</v>
      </c>
      <c r="J88" s="1"/>
      <c r="K88" s="43">
        <v>74</v>
      </c>
      <c r="L88" s="48">
        <f t="shared" si="4"/>
        <v>296</v>
      </c>
      <c r="M88" s="43"/>
      <c r="N88" s="43"/>
    </row>
    <row r="89" spans="2:14" s="5" customFormat="1" x14ac:dyDescent="0.25">
      <c r="B89" s="66"/>
      <c r="C89" s="15"/>
      <c r="D89" s="15"/>
      <c r="E89" s="16"/>
      <c r="F89" s="27"/>
      <c r="G89" s="70"/>
      <c r="H89" s="26" t="str">
        <f t="shared" si="5"/>
        <v/>
      </c>
      <c r="J89" s="1"/>
      <c r="K89" s="43"/>
      <c r="L89" s="48" t="str">
        <f t="shared" si="4"/>
        <v/>
      </c>
      <c r="M89" s="43"/>
      <c r="N89" s="43"/>
    </row>
    <row r="90" spans="2:14" s="5" customFormat="1" ht="13.8" x14ac:dyDescent="0.25">
      <c r="B90" s="53" t="s">
        <v>802</v>
      </c>
      <c r="C90" s="15" t="s">
        <v>988</v>
      </c>
      <c r="D90" s="15"/>
      <c r="E90" s="23" t="s">
        <v>600</v>
      </c>
      <c r="F90" s="27">
        <v>10</v>
      </c>
      <c r="G90" s="72"/>
      <c r="H90" s="26">
        <f t="shared" si="5"/>
        <v>0</v>
      </c>
      <c r="J90" s="1"/>
      <c r="K90" s="43">
        <v>74</v>
      </c>
      <c r="L90" s="48">
        <f t="shared" si="4"/>
        <v>740</v>
      </c>
      <c r="M90" s="43"/>
      <c r="N90" s="43"/>
    </row>
    <row r="91" spans="2:14" s="5" customFormat="1" x14ac:dyDescent="0.25">
      <c r="B91" s="53"/>
      <c r="C91" s="15"/>
      <c r="D91" s="15"/>
      <c r="E91" s="16"/>
      <c r="F91" s="16"/>
      <c r="G91" s="17"/>
      <c r="H91" s="18"/>
      <c r="J91" s="1"/>
      <c r="K91" s="43"/>
      <c r="L91" s="48" t="str">
        <f t="shared" si="4"/>
        <v/>
      </c>
      <c r="M91" s="43"/>
      <c r="N91" s="43"/>
    </row>
    <row r="92" spans="2:14" s="5" customFormat="1" ht="26.4" x14ac:dyDescent="0.25">
      <c r="B92" s="53" t="s">
        <v>801</v>
      </c>
      <c r="C92" s="15" t="s">
        <v>800</v>
      </c>
      <c r="D92" s="15"/>
      <c r="E92" s="23"/>
      <c r="F92" s="27"/>
      <c r="G92" s="72"/>
      <c r="H92" s="26" t="str">
        <f t="shared" ref="H92:H104" si="6">IF(E92="","",F92*G92)</f>
        <v/>
      </c>
      <c r="J92" s="1"/>
      <c r="K92" s="43"/>
      <c r="L92" s="48" t="str">
        <f t="shared" si="4"/>
        <v/>
      </c>
      <c r="M92" s="43"/>
      <c r="N92" s="43"/>
    </row>
    <row r="93" spans="2:14" s="5" customFormat="1" x14ac:dyDescent="0.25">
      <c r="B93" s="66"/>
      <c r="C93" s="15"/>
      <c r="D93" s="15"/>
      <c r="E93" s="16"/>
      <c r="F93" s="27"/>
      <c r="G93" s="72"/>
      <c r="H93" s="26" t="str">
        <f t="shared" si="6"/>
        <v/>
      </c>
      <c r="J93" s="1"/>
      <c r="K93" s="43"/>
      <c r="L93" s="48" t="str">
        <f t="shared" si="4"/>
        <v/>
      </c>
      <c r="M93" s="43"/>
      <c r="N93" s="43"/>
    </row>
    <row r="94" spans="2:14" s="5" customFormat="1" ht="26.4" x14ac:dyDescent="0.25">
      <c r="B94" s="53" t="s">
        <v>799</v>
      </c>
      <c r="C94" s="15" t="s">
        <v>798</v>
      </c>
      <c r="D94" s="15"/>
      <c r="E94" s="23"/>
      <c r="F94" s="27"/>
      <c r="G94" s="67"/>
      <c r="H94" s="26" t="str">
        <f t="shared" si="6"/>
        <v/>
      </c>
      <c r="J94" s="1"/>
      <c r="K94" s="43"/>
      <c r="L94" s="48" t="str">
        <f t="shared" si="4"/>
        <v/>
      </c>
      <c r="M94" s="43"/>
      <c r="N94" s="43"/>
    </row>
    <row r="95" spans="2:14" s="5" customFormat="1" x14ac:dyDescent="0.25">
      <c r="B95" s="66"/>
      <c r="C95" s="15"/>
      <c r="D95" s="15"/>
      <c r="E95" s="16"/>
      <c r="F95" s="27"/>
      <c r="G95" s="30"/>
      <c r="H95" s="26" t="str">
        <f t="shared" si="6"/>
        <v/>
      </c>
      <c r="J95" s="1"/>
      <c r="K95" s="43"/>
      <c r="L95" s="48" t="str">
        <f t="shared" si="4"/>
        <v/>
      </c>
      <c r="M95" s="43"/>
      <c r="N95" s="43"/>
    </row>
    <row r="96" spans="2:14" s="5" customFormat="1" ht="13.8" x14ac:dyDescent="0.25">
      <c r="B96" s="53" t="s">
        <v>49</v>
      </c>
      <c r="C96" s="15" t="s">
        <v>985</v>
      </c>
      <c r="D96" s="15"/>
      <c r="E96" s="23" t="s">
        <v>600</v>
      </c>
      <c r="F96" s="27">
        <v>10</v>
      </c>
      <c r="G96" s="70"/>
      <c r="H96" s="26">
        <f t="shared" si="6"/>
        <v>0</v>
      </c>
      <c r="J96" s="1"/>
      <c r="K96" s="43">
        <v>74</v>
      </c>
      <c r="L96" s="48">
        <f t="shared" si="4"/>
        <v>740</v>
      </c>
      <c r="M96" s="43"/>
      <c r="N96" s="43"/>
    </row>
    <row r="97" spans="2:14" s="5" customFormat="1" x14ac:dyDescent="0.25">
      <c r="B97" s="66"/>
      <c r="C97" s="15"/>
      <c r="D97" s="15"/>
      <c r="E97" s="16"/>
      <c r="F97" s="27"/>
      <c r="G97" s="70"/>
      <c r="H97" s="26" t="str">
        <f t="shared" si="6"/>
        <v/>
      </c>
      <c r="J97" s="1"/>
      <c r="K97" s="43"/>
      <c r="L97" s="48" t="str">
        <f t="shared" si="4"/>
        <v/>
      </c>
      <c r="M97" s="43"/>
      <c r="N97" s="43"/>
    </row>
    <row r="98" spans="2:14" s="5" customFormat="1" ht="13.8" x14ac:dyDescent="0.25">
      <c r="B98" s="53" t="s">
        <v>51</v>
      </c>
      <c r="C98" s="15" t="s">
        <v>986</v>
      </c>
      <c r="D98" s="15"/>
      <c r="E98" s="23" t="s">
        <v>600</v>
      </c>
      <c r="F98" s="27">
        <v>30</v>
      </c>
      <c r="G98" s="72"/>
      <c r="H98" s="26">
        <f t="shared" si="6"/>
        <v>0</v>
      </c>
      <c r="J98" s="1"/>
      <c r="K98" s="43">
        <v>74</v>
      </c>
      <c r="L98" s="48">
        <f t="shared" si="4"/>
        <v>2220</v>
      </c>
      <c r="M98" s="43"/>
      <c r="N98" s="43"/>
    </row>
    <row r="99" spans="2:14" s="5" customFormat="1" x14ac:dyDescent="0.25">
      <c r="B99" s="66"/>
      <c r="C99" s="15"/>
      <c r="D99" s="15"/>
      <c r="E99" s="16"/>
      <c r="F99" s="27"/>
      <c r="G99" s="70"/>
      <c r="H99" s="26" t="str">
        <f t="shared" si="6"/>
        <v/>
      </c>
      <c r="J99" s="1"/>
      <c r="K99" s="43"/>
      <c r="L99" s="48" t="str">
        <f t="shared" si="4"/>
        <v/>
      </c>
      <c r="M99" s="43"/>
      <c r="N99" s="43"/>
    </row>
    <row r="100" spans="2:14" s="5" customFormat="1" ht="13.8" x14ac:dyDescent="0.25">
      <c r="B100" s="53" t="s">
        <v>717</v>
      </c>
      <c r="C100" s="15" t="s">
        <v>988</v>
      </c>
      <c r="D100" s="15"/>
      <c r="E100" s="23" t="s">
        <v>600</v>
      </c>
      <c r="F100" s="27">
        <v>15</v>
      </c>
      <c r="G100" s="72"/>
      <c r="H100" s="26">
        <f t="shared" si="6"/>
        <v>0</v>
      </c>
      <c r="J100" s="1"/>
      <c r="K100" s="43">
        <v>74</v>
      </c>
      <c r="L100" s="48">
        <f t="shared" si="4"/>
        <v>1110</v>
      </c>
      <c r="M100" s="43"/>
      <c r="N100" s="43"/>
    </row>
    <row r="101" spans="2:14" s="5" customFormat="1" x14ac:dyDescent="0.25">
      <c r="B101" s="66"/>
      <c r="C101" s="15"/>
      <c r="D101" s="15"/>
      <c r="E101" s="16"/>
      <c r="F101" s="16"/>
      <c r="G101" s="72"/>
      <c r="H101" s="26" t="str">
        <f t="shared" si="6"/>
        <v/>
      </c>
      <c r="J101" s="1"/>
      <c r="K101" s="43"/>
      <c r="L101" s="48" t="str">
        <f t="shared" si="4"/>
        <v/>
      </c>
      <c r="M101" s="43"/>
      <c r="N101" s="43"/>
    </row>
    <row r="102" spans="2:14" s="5" customFormat="1" x14ac:dyDescent="0.25">
      <c r="B102" s="53" t="s">
        <v>797</v>
      </c>
      <c r="C102" s="15" t="s">
        <v>796</v>
      </c>
      <c r="D102" s="15"/>
      <c r="E102" s="23"/>
      <c r="F102" s="69"/>
      <c r="G102" s="72"/>
      <c r="H102" s="26" t="str">
        <f t="shared" si="6"/>
        <v/>
      </c>
      <c r="J102" s="1"/>
      <c r="K102" s="43"/>
      <c r="L102" s="48" t="str">
        <f t="shared" si="4"/>
        <v/>
      </c>
      <c r="M102" s="43"/>
      <c r="N102" s="43"/>
    </row>
    <row r="103" spans="2:14" s="5" customFormat="1" x14ac:dyDescent="0.25">
      <c r="B103" s="66"/>
      <c r="C103" s="28"/>
      <c r="D103" s="146"/>
      <c r="E103" s="69"/>
      <c r="F103" s="69"/>
      <c r="G103" s="72"/>
      <c r="H103" s="26" t="str">
        <f t="shared" si="6"/>
        <v/>
      </c>
      <c r="J103" s="1"/>
      <c r="K103" s="43"/>
      <c r="L103" s="48" t="str">
        <f t="shared" si="4"/>
        <v/>
      </c>
      <c r="M103" s="43"/>
      <c r="N103" s="43"/>
    </row>
    <row r="104" spans="2:14" s="5" customFormat="1" ht="26.4" x14ac:dyDescent="0.25">
      <c r="B104" s="53" t="s">
        <v>795</v>
      </c>
      <c r="C104" s="29" t="s">
        <v>794</v>
      </c>
      <c r="D104" s="147"/>
      <c r="E104" s="23" t="s">
        <v>44</v>
      </c>
      <c r="F104" s="16">
        <v>172</v>
      </c>
      <c r="G104" s="72"/>
      <c r="H104" s="26">
        <f t="shared" si="6"/>
        <v>0</v>
      </c>
      <c r="J104" s="1"/>
      <c r="K104" s="43">
        <v>74</v>
      </c>
      <c r="L104" s="48">
        <f t="shared" si="4"/>
        <v>12728</v>
      </c>
      <c r="M104" s="43"/>
      <c r="N104" s="43"/>
    </row>
    <row r="105" spans="2:14" s="5" customFormat="1" x14ac:dyDescent="0.25">
      <c r="B105" s="66"/>
      <c r="C105" s="15"/>
      <c r="D105" s="15"/>
      <c r="E105" s="16"/>
      <c r="F105" s="27"/>
      <c r="G105" s="30"/>
      <c r="H105" s="26"/>
      <c r="K105" s="43"/>
      <c r="L105" s="48" t="str">
        <f t="shared" si="4"/>
        <v/>
      </c>
      <c r="M105" s="43"/>
      <c r="N105" s="43"/>
    </row>
    <row r="106" spans="2:14" s="5" customFormat="1" x14ac:dyDescent="0.25">
      <c r="B106" s="53"/>
      <c r="C106" s="15"/>
      <c r="D106" s="15"/>
      <c r="E106" s="23"/>
      <c r="F106" s="27"/>
      <c r="G106" s="70"/>
      <c r="H106" s="26"/>
      <c r="K106" s="43"/>
      <c r="L106" s="48" t="str">
        <f t="shared" si="4"/>
        <v/>
      </c>
      <c r="M106" s="43"/>
      <c r="N106" s="43"/>
    </row>
    <row r="107" spans="2:14" s="5" customFormat="1" x14ac:dyDescent="0.25">
      <c r="B107" s="66"/>
      <c r="C107" s="15"/>
      <c r="D107" s="15"/>
      <c r="E107" s="16"/>
      <c r="F107" s="27"/>
      <c r="G107" s="70"/>
      <c r="H107" s="26"/>
      <c r="K107" s="43"/>
      <c r="L107" s="48" t="str">
        <f t="shared" si="4"/>
        <v/>
      </c>
      <c r="M107" s="43"/>
      <c r="N107" s="43"/>
    </row>
    <row r="108" spans="2:14" s="5" customFormat="1" x14ac:dyDescent="0.25">
      <c r="B108" s="53"/>
      <c r="C108" s="15"/>
      <c r="D108" s="15"/>
      <c r="E108" s="23"/>
      <c r="F108" s="27"/>
      <c r="G108" s="72"/>
      <c r="H108" s="26"/>
      <c r="K108" s="43"/>
      <c r="L108" s="48" t="str">
        <f t="shared" si="4"/>
        <v/>
      </c>
      <c r="M108" s="43"/>
      <c r="N108" s="43"/>
    </row>
    <row r="109" spans="2:14" s="5" customFormat="1" x14ac:dyDescent="0.25">
      <c r="B109" s="66"/>
      <c r="C109" s="15"/>
      <c r="D109" s="15"/>
      <c r="E109" s="16"/>
      <c r="F109" s="27"/>
      <c r="G109" s="70"/>
      <c r="H109" s="26"/>
      <c r="K109" s="43"/>
      <c r="L109" s="48" t="str">
        <f t="shared" si="4"/>
        <v/>
      </c>
      <c r="M109" s="43"/>
      <c r="N109" s="43"/>
    </row>
    <row r="110" spans="2:14" s="5" customFormat="1" x14ac:dyDescent="0.25">
      <c r="B110" s="53"/>
      <c r="C110" s="15"/>
      <c r="D110" s="15"/>
      <c r="E110" s="23"/>
      <c r="F110" s="27"/>
      <c r="G110" s="72"/>
      <c r="H110" s="26"/>
      <c r="K110" s="43"/>
      <c r="L110" s="48" t="str">
        <f t="shared" si="4"/>
        <v/>
      </c>
      <c r="M110" s="43"/>
      <c r="N110" s="43"/>
    </row>
    <row r="111" spans="2:14" s="5" customFormat="1" x14ac:dyDescent="0.25">
      <c r="B111" s="66"/>
      <c r="C111" s="15"/>
      <c r="D111" s="15"/>
      <c r="E111" s="16"/>
      <c r="F111" s="16"/>
      <c r="G111" s="72"/>
      <c r="H111" s="26"/>
      <c r="K111" s="43"/>
      <c r="L111" s="48" t="str">
        <f>IF(K111="","",K111*F111)</f>
        <v/>
      </c>
      <c r="M111" s="43"/>
      <c r="N111" s="43"/>
    </row>
    <row r="112" spans="2:14" s="5" customFormat="1" x14ac:dyDescent="0.25">
      <c r="B112" s="53"/>
      <c r="C112" s="15"/>
      <c r="D112" s="15"/>
      <c r="E112" s="23"/>
      <c r="F112" s="69"/>
      <c r="G112" s="72"/>
      <c r="H112" s="26"/>
      <c r="K112" s="43"/>
      <c r="L112" s="48" t="str">
        <f>IF(K112="","",K112*F112)</f>
        <v/>
      </c>
      <c r="M112" s="43"/>
      <c r="N112" s="43"/>
    </row>
    <row r="113" spans="2:14" s="5" customFormat="1" x14ac:dyDescent="0.25">
      <c r="B113" s="66"/>
      <c r="C113" s="28"/>
      <c r="D113" s="146"/>
      <c r="E113" s="69"/>
      <c r="F113" s="69"/>
      <c r="G113" s="72"/>
      <c r="H113" s="26"/>
      <c r="K113" s="43"/>
      <c r="L113" s="48" t="str">
        <f>IF(K113="","",K113*F113)</f>
        <v/>
      </c>
      <c r="M113" s="43"/>
      <c r="N113" s="43"/>
    </row>
    <row r="114" spans="2:14" s="5" customFormat="1" x14ac:dyDescent="0.25">
      <c r="B114" s="53"/>
      <c r="C114" s="29"/>
      <c r="D114" s="147"/>
      <c r="E114" s="23"/>
      <c r="F114" s="16"/>
      <c r="G114" s="72"/>
      <c r="H114" s="26"/>
      <c r="K114" s="43"/>
      <c r="L114" s="48" t="str">
        <f>IF(K114="","",K114*F114)</f>
        <v/>
      </c>
      <c r="M114" s="43"/>
      <c r="N114" s="43"/>
    </row>
    <row r="115" spans="2:14" s="5" customFormat="1" x14ac:dyDescent="0.25">
      <c r="B115" s="53"/>
      <c r="C115" s="15"/>
      <c r="D115" s="15"/>
      <c r="E115" s="23"/>
      <c r="F115" s="27"/>
      <c r="G115" s="30"/>
      <c r="H115" s="26"/>
      <c r="K115" s="43"/>
      <c r="L115" s="48" t="str">
        <f>IF(K115="","",K115*F115)</f>
        <v/>
      </c>
      <c r="M115" s="43"/>
      <c r="N115" s="43"/>
    </row>
    <row r="116" spans="2:14" s="31" customFormat="1" ht="24.75" customHeight="1" x14ac:dyDescent="0.25">
      <c r="B116" s="90" t="str">
        <f>$B$11</f>
        <v>C11.6</v>
      </c>
      <c r="C116" s="33" t="str">
        <f>"TOTAL CARRIED FORWARD"&amp;IF(H116=H$1," TO SUMMARY (Page C"&amp;Page_A&amp;")","")</f>
        <v>TOTAL CARRIED FORWARD TO SUMMARY (Page C57)</v>
      </c>
      <c r="D116" s="33"/>
      <c r="E116" s="34"/>
      <c r="F116" s="35"/>
      <c r="G116" s="34"/>
      <c r="H116" s="36">
        <f>SUM(H72:H115)</f>
        <v>0</v>
      </c>
      <c r="I116" s="37"/>
      <c r="L116" s="36">
        <f>SUM(L72:L115)</f>
        <v>33139</v>
      </c>
    </row>
  </sheetData>
  <mergeCells count="11">
    <mergeCell ref="F2:H2"/>
    <mergeCell ref="H5:H8"/>
    <mergeCell ref="B5:G5"/>
    <mergeCell ref="B6:G8"/>
    <mergeCell ref="B67:G67"/>
    <mergeCell ref="H67:H70"/>
    <mergeCell ref="B68:G70"/>
    <mergeCell ref="B64:E64"/>
    <mergeCell ref="F64:H66"/>
    <mergeCell ref="B65:E65"/>
    <mergeCell ref="B66:E66"/>
  </mergeCells>
  <printOptions horizontalCentered="1"/>
  <pageMargins left="0.43307086614173229" right="0.31496062992125984" top="0.43307086614173229" bottom="0.62992125984251968" header="0.35433070866141736" footer="0.31496062992125984"/>
  <pageSetup paperSize="9" scale="80" firstPageNumber="31" fitToHeight="0"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rowBreaks count="1" manualBreakCount="1">
    <brk id="63"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D6D8E-99F4-43DA-8146-1FED0EA0C987}">
  <sheetPr codeName="Sheet51">
    <tabColor rgb="FF92D050"/>
  </sheetPr>
  <dimension ref="B1:N49"/>
  <sheetViews>
    <sheetView view="pageBreakPreview" zoomScaleNormal="125" zoomScaleSheetLayoutView="100" zoomScalePageLayoutView="125" workbookViewId="0">
      <selection activeCell="G44" sqref="G44"/>
    </sheetView>
  </sheetViews>
  <sheetFormatPr defaultColWidth="6.6640625" defaultRowHeight="13.2" x14ac:dyDescent="0.25"/>
  <cols>
    <col min="1" max="1" width="0.6640625" style="1" customWidth="1"/>
    <col min="2" max="2" width="11.5546875" style="38" customWidth="1"/>
    <col min="3" max="3" width="45.5546875" style="3" customWidth="1"/>
    <col min="4" max="4" width="4.8867187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0" width="6.6640625" style="1"/>
    <col min="11" max="14" width="15.5546875" style="1" customWidth="1"/>
    <col min="15" max="16384" width="6.6640625" style="1"/>
  </cols>
  <sheetData>
    <row r="1" spans="2:14" x14ac:dyDescent="0.25">
      <c r="H1" s="234">
        <f>H49</f>
        <v>175000</v>
      </c>
    </row>
    <row r="2" spans="2:14" x14ac:dyDescent="0.25">
      <c r="B2" s="2" t="str">
        <f>Client1</f>
        <v>Province of KwaZulu-Natal</v>
      </c>
      <c r="F2" s="510" t="str">
        <f>"Contract No. "&amp;ContractNo</f>
        <v>Contract No. ZNB02215/00000/00/HOD/INF/23/T</v>
      </c>
      <c r="G2" s="510"/>
      <c r="H2" s="510"/>
      <c r="K2" s="402"/>
      <c r="L2" s="402">
        <f>MAX(L3:L245)</f>
        <v>0</v>
      </c>
      <c r="M2" s="402"/>
      <c r="N2" s="403"/>
    </row>
    <row r="3" spans="2:14" x14ac:dyDescent="0.25">
      <c r="B3" s="96" t="str">
        <f>Client2</f>
        <v>Department of Transport</v>
      </c>
      <c r="K3" s="1" t="s">
        <v>1421</v>
      </c>
      <c r="L3" s="1" t="s">
        <v>1422</v>
      </c>
      <c r="M3" s="1" t="s">
        <v>1423</v>
      </c>
      <c r="N3" s="1" t="s">
        <v>1424</v>
      </c>
    </row>
    <row r="4" spans="2:14" x14ac:dyDescent="0.25">
      <c r="B4" s="84"/>
      <c r="C4" s="84"/>
      <c r="D4" s="84"/>
      <c r="E4" s="85"/>
      <c r="F4" s="85"/>
      <c r="G4" s="86"/>
      <c r="H4" s="98"/>
      <c r="K4" s="86"/>
      <c r="L4" s="86"/>
      <c r="M4" s="86"/>
      <c r="N4" s="86"/>
    </row>
    <row r="5" spans="2:14" x14ac:dyDescent="0.25">
      <c r="B5" s="507" t="s">
        <v>8</v>
      </c>
      <c r="C5" s="508"/>
      <c r="D5" s="508"/>
      <c r="E5" s="508"/>
      <c r="F5" s="508"/>
      <c r="G5" s="508"/>
      <c r="H5" s="504" t="str">
        <f>"CHAPTER "&amp;B11</f>
        <v>CHAPTER C20.1</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05"/>
      <c r="I6" s="9"/>
    </row>
    <row r="7" spans="2:14" ht="12.75" customHeight="1" x14ac:dyDescent="0.25">
      <c r="B7" s="500"/>
      <c r="C7" s="501"/>
      <c r="D7" s="501"/>
      <c r="E7" s="501"/>
      <c r="F7" s="501"/>
      <c r="G7" s="501"/>
      <c r="H7" s="505"/>
      <c r="I7" s="9"/>
    </row>
    <row r="8" spans="2:14" ht="7.5" customHeight="1" x14ac:dyDescent="0.25">
      <c r="B8" s="502"/>
      <c r="C8" s="503"/>
      <c r="D8" s="503"/>
      <c r="E8" s="503"/>
      <c r="F8" s="503"/>
      <c r="G8" s="503"/>
      <c r="H8" s="506"/>
      <c r="I8" s="9"/>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14"/>
      <c r="C10" s="15"/>
      <c r="D10" s="15"/>
      <c r="E10" s="16"/>
      <c r="F10" s="16"/>
      <c r="G10" s="17"/>
      <c r="H10" s="18" t="str">
        <f t="shared" ref="H10:H28" si="0">IF(E10="","",F10*G10)</f>
        <v/>
      </c>
      <c r="I10" s="19"/>
      <c r="K10" s="17"/>
      <c r="L10" s="17"/>
      <c r="M10" s="17"/>
      <c r="N10" s="17"/>
    </row>
    <row r="11" spans="2:14" ht="26.4" x14ac:dyDescent="0.25">
      <c r="B11" s="80" t="s">
        <v>376</v>
      </c>
      <c r="C11" s="21" t="s">
        <v>377</v>
      </c>
      <c r="D11" s="21"/>
      <c r="E11" s="23"/>
      <c r="F11" s="23"/>
      <c r="G11" s="43"/>
      <c r="H11" s="18" t="str">
        <f t="shared" si="0"/>
        <v/>
      </c>
      <c r="I11" s="44"/>
      <c r="K11" s="43"/>
      <c r="L11" s="43"/>
      <c r="M11" s="43"/>
      <c r="N11" s="43"/>
    </row>
    <row r="12" spans="2:14" x14ac:dyDescent="0.25">
      <c r="B12" s="53"/>
      <c r="C12" s="15"/>
      <c r="D12" s="15"/>
      <c r="E12" s="23"/>
      <c r="F12" s="23"/>
      <c r="G12" s="43"/>
      <c r="H12" s="18" t="str">
        <f t="shared" si="0"/>
        <v/>
      </c>
      <c r="I12" s="44"/>
      <c r="K12" s="43"/>
      <c r="L12" s="43"/>
      <c r="M12" s="43"/>
      <c r="N12" s="43"/>
    </row>
    <row r="13" spans="2:14" x14ac:dyDescent="0.25">
      <c r="B13" s="80"/>
      <c r="C13" s="15"/>
      <c r="D13" s="15"/>
      <c r="E13" s="23"/>
      <c r="F13" s="23"/>
      <c r="G13" s="43"/>
      <c r="H13" s="18" t="str">
        <f t="shared" si="0"/>
        <v/>
      </c>
      <c r="I13" s="44"/>
      <c r="K13" s="43"/>
      <c r="L13" s="43"/>
      <c r="M13" s="43"/>
      <c r="N13" s="43"/>
    </row>
    <row r="14" spans="2:14" x14ac:dyDescent="0.25">
      <c r="B14" s="53" t="s">
        <v>378</v>
      </c>
      <c r="C14" s="15" t="s">
        <v>379</v>
      </c>
      <c r="D14" s="15"/>
      <c r="E14" s="23"/>
      <c r="F14" s="24"/>
      <c r="G14" s="25"/>
      <c r="H14" s="18" t="str">
        <f t="shared" si="0"/>
        <v/>
      </c>
      <c r="I14" s="45"/>
      <c r="K14" s="25"/>
      <c r="L14" s="25"/>
      <c r="M14" s="25"/>
      <c r="N14" s="25"/>
    </row>
    <row r="15" spans="2:14" x14ac:dyDescent="0.25">
      <c r="B15" s="80"/>
      <c r="C15" s="15"/>
      <c r="D15" s="15"/>
      <c r="E15" s="23"/>
      <c r="F15" s="24"/>
      <c r="G15" s="25"/>
      <c r="H15" s="18" t="str">
        <f t="shared" si="0"/>
        <v/>
      </c>
      <c r="I15" s="45"/>
      <c r="K15" s="25"/>
      <c r="L15" s="25"/>
      <c r="M15" s="25"/>
      <c r="N15" s="25"/>
    </row>
    <row r="16" spans="2:14" x14ac:dyDescent="0.25">
      <c r="B16" s="53" t="s">
        <v>380</v>
      </c>
      <c r="C16" s="15" t="s">
        <v>381</v>
      </c>
      <c r="D16" s="15"/>
      <c r="E16" s="23"/>
      <c r="F16" s="24"/>
      <c r="G16" s="25"/>
      <c r="H16" s="18" t="str">
        <f t="shared" si="0"/>
        <v/>
      </c>
      <c r="I16" s="45"/>
      <c r="K16" s="25"/>
      <c r="L16" s="25"/>
      <c r="M16" s="25"/>
      <c r="N16" s="25"/>
    </row>
    <row r="17" spans="2:14" x14ac:dyDescent="0.25">
      <c r="B17" s="80"/>
      <c r="C17" s="15"/>
      <c r="D17" s="15"/>
      <c r="E17" s="23"/>
      <c r="F17" s="24"/>
      <c r="G17" s="25"/>
      <c r="H17" s="18" t="str">
        <f t="shared" si="0"/>
        <v/>
      </c>
      <c r="I17" s="45"/>
      <c r="K17" s="25"/>
      <c r="L17" s="25"/>
      <c r="M17" s="25"/>
      <c r="N17" s="25"/>
    </row>
    <row r="18" spans="2:14" x14ac:dyDescent="0.25">
      <c r="B18" s="53" t="s">
        <v>394</v>
      </c>
      <c r="C18" s="15" t="s">
        <v>383</v>
      </c>
      <c r="D18" s="15"/>
      <c r="E18" s="23"/>
      <c r="F18" s="24"/>
      <c r="G18" s="46"/>
      <c r="H18" s="18" t="str">
        <f t="shared" si="0"/>
        <v/>
      </c>
      <c r="I18" s="44"/>
      <c r="K18" s="46"/>
      <c r="L18" s="46"/>
      <c r="M18" s="46"/>
      <c r="N18" s="46"/>
    </row>
    <row r="19" spans="2:14" x14ac:dyDescent="0.25">
      <c r="B19" s="53"/>
      <c r="C19" s="15"/>
      <c r="D19" s="15"/>
      <c r="E19" s="23"/>
      <c r="F19" s="23"/>
      <c r="G19" s="43"/>
      <c r="H19" s="18" t="str">
        <f t="shared" si="0"/>
        <v/>
      </c>
      <c r="I19" s="44"/>
      <c r="K19" s="43"/>
      <c r="L19" s="43"/>
      <c r="M19" s="43"/>
      <c r="N19" s="43"/>
    </row>
    <row r="20" spans="2:14" ht="26.4" x14ac:dyDescent="0.25">
      <c r="B20" s="53" t="s">
        <v>49</v>
      </c>
      <c r="C20" s="15" t="s">
        <v>1410</v>
      </c>
      <c r="D20" s="15"/>
      <c r="E20" s="23" t="s">
        <v>974</v>
      </c>
      <c r="F20" s="23">
        <v>25000</v>
      </c>
      <c r="G20" s="43">
        <v>1</v>
      </c>
      <c r="H20" s="18">
        <f t="shared" si="0"/>
        <v>25000</v>
      </c>
      <c r="I20" s="44"/>
      <c r="K20" s="43"/>
      <c r="L20" s="43"/>
      <c r="M20" s="43"/>
      <c r="N20" s="43"/>
    </row>
    <row r="21" spans="2:14" x14ac:dyDescent="0.25">
      <c r="B21" s="53"/>
      <c r="C21" s="15"/>
      <c r="D21" s="15"/>
      <c r="E21" s="23"/>
      <c r="F21" s="23"/>
      <c r="G21" s="43"/>
      <c r="H21" s="18" t="str">
        <f t="shared" si="0"/>
        <v/>
      </c>
      <c r="I21" s="44"/>
      <c r="K21" s="43"/>
      <c r="L21" s="43"/>
      <c r="M21" s="43"/>
      <c r="N21" s="43"/>
    </row>
    <row r="22" spans="2:14" ht="26.4" x14ac:dyDescent="0.25">
      <c r="B22" s="53" t="s">
        <v>51</v>
      </c>
      <c r="C22" s="15" t="s">
        <v>1411</v>
      </c>
      <c r="D22" s="15"/>
      <c r="E22" s="23" t="s">
        <v>974</v>
      </c>
      <c r="F22" s="23">
        <v>25000</v>
      </c>
      <c r="G22" s="43">
        <v>1</v>
      </c>
      <c r="H22" s="18">
        <f t="shared" si="0"/>
        <v>25000</v>
      </c>
      <c r="I22" s="44"/>
      <c r="K22" s="43"/>
      <c r="L22" s="43"/>
      <c r="M22" s="43"/>
      <c r="N22" s="43"/>
    </row>
    <row r="23" spans="2:14" x14ac:dyDescent="0.25">
      <c r="B23" s="53"/>
      <c r="C23" s="15"/>
      <c r="D23" s="15"/>
      <c r="E23" s="23"/>
      <c r="F23" s="23"/>
      <c r="G23" s="43"/>
      <c r="H23" s="18" t="str">
        <f t="shared" si="0"/>
        <v/>
      </c>
      <c r="I23" s="44"/>
      <c r="K23" s="43"/>
      <c r="L23" s="43"/>
      <c r="M23" s="43"/>
      <c r="N23" s="43"/>
    </row>
    <row r="24" spans="2:14" ht="26.4" x14ac:dyDescent="0.25">
      <c r="B24" s="53" t="s">
        <v>52</v>
      </c>
      <c r="C24" s="15" t="s">
        <v>1412</v>
      </c>
      <c r="D24" s="15"/>
      <c r="E24" s="23" t="s">
        <v>974</v>
      </c>
      <c r="F24" s="23">
        <v>25000</v>
      </c>
      <c r="G24" s="43">
        <v>1</v>
      </c>
      <c r="H24" s="18">
        <f t="shared" si="0"/>
        <v>25000</v>
      </c>
      <c r="I24" s="44"/>
      <c r="K24" s="43"/>
      <c r="L24" s="43"/>
      <c r="M24" s="43"/>
      <c r="N24" s="43"/>
    </row>
    <row r="25" spans="2:14" x14ac:dyDescent="0.25">
      <c r="B25" s="53"/>
      <c r="C25" s="15"/>
      <c r="D25" s="15"/>
      <c r="E25" s="23"/>
      <c r="F25" s="23"/>
      <c r="G25" s="41"/>
      <c r="H25" s="18" t="str">
        <f t="shared" si="0"/>
        <v/>
      </c>
      <c r="I25" s="44"/>
      <c r="K25" s="41"/>
      <c r="L25" s="41"/>
      <c r="M25" s="41"/>
      <c r="N25" s="41"/>
    </row>
    <row r="26" spans="2:14" ht="26.4" x14ac:dyDescent="0.25">
      <c r="B26" s="53" t="s">
        <v>233</v>
      </c>
      <c r="C26" s="15" t="s">
        <v>384</v>
      </c>
      <c r="D26" s="15"/>
      <c r="E26" s="23" t="s">
        <v>36</v>
      </c>
      <c r="F26" s="357">
        <f>H20+H22</f>
        <v>50000</v>
      </c>
      <c r="G26" s="199"/>
      <c r="H26" s="18">
        <f t="shared" si="0"/>
        <v>0</v>
      </c>
      <c r="I26" s="44"/>
      <c r="K26" s="199"/>
      <c r="L26" s="199"/>
      <c r="M26" s="199"/>
      <c r="N26" s="199"/>
    </row>
    <row r="27" spans="2:14" x14ac:dyDescent="0.25">
      <c r="B27" s="53"/>
      <c r="C27" s="15"/>
      <c r="D27" s="15"/>
      <c r="E27" s="23"/>
      <c r="F27" s="23"/>
      <c r="G27" s="41"/>
      <c r="H27" s="18" t="str">
        <f t="shared" si="0"/>
        <v/>
      </c>
      <c r="I27" s="44"/>
      <c r="K27" s="41"/>
      <c r="L27" s="41"/>
      <c r="M27" s="41"/>
      <c r="N27" s="41"/>
    </row>
    <row r="28" spans="2:14" x14ac:dyDescent="0.25">
      <c r="B28" s="53" t="s">
        <v>395</v>
      </c>
      <c r="C28" s="15" t="s">
        <v>385</v>
      </c>
      <c r="D28" s="15"/>
      <c r="E28" s="23"/>
      <c r="F28" s="23"/>
      <c r="G28" s="41"/>
      <c r="H28" s="18" t="str">
        <f t="shared" si="0"/>
        <v/>
      </c>
      <c r="I28" s="44"/>
      <c r="K28" s="41"/>
      <c r="L28" s="41"/>
      <c r="M28" s="41"/>
      <c r="N28" s="41"/>
    </row>
    <row r="29" spans="2:14" x14ac:dyDescent="0.25">
      <c r="B29" s="53"/>
      <c r="C29" s="15"/>
      <c r="D29" s="15"/>
      <c r="E29" s="23"/>
      <c r="F29" s="23"/>
      <c r="G29" s="41"/>
      <c r="H29" s="18" t="str">
        <f t="shared" ref="H29:H48" si="1">IF(E29="","",F29*G29)</f>
        <v/>
      </c>
      <c r="I29" s="44"/>
      <c r="K29" s="41"/>
      <c r="L29" s="41"/>
      <c r="M29" s="41"/>
      <c r="N29" s="41"/>
    </row>
    <row r="30" spans="2:14" x14ac:dyDescent="0.25">
      <c r="B30" s="53" t="s">
        <v>396</v>
      </c>
      <c r="C30" s="15" t="s">
        <v>386</v>
      </c>
      <c r="D30" s="15"/>
      <c r="E30" s="23" t="s">
        <v>44</v>
      </c>
      <c r="F30" s="23">
        <v>2</v>
      </c>
      <c r="G30" s="41"/>
      <c r="H30" s="18">
        <f t="shared" si="1"/>
        <v>0</v>
      </c>
      <c r="I30" s="44"/>
      <c r="K30" s="41"/>
      <c r="L30" s="41"/>
      <c r="M30" s="41"/>
      <c r="N30" s="41"/>
    </row>
    <row r="31" spans="2:14" x14ac:dyDescent="0.25">
      <c r="B31" s="53"/>
      <c r="C31" s="15"/>
      <c r="D31" s="15"/>
      <c r="E31" s="23"/>
      <c r="F31" s="23"/>
      <c r="G31" s="41"/>
      <c r="H31" s="18" t="str">
        <f t="shared" si="1"/>
        <v/>
      </c>
      <c r="I31" s="44"/>
      <c r="K31" s="41"/>
      <c r="L31" s="41"/>
      <c r="M31" s="41"/>
      <c r="N31" s="41"/>
    </row>
    <row r="32" spans="2:14" ht="52.8" x14ac:dyDescent="0.25">
      <c r="B32" s="53" t="s">
        <v>397</v>
      </c>
      <c r="C32" s="15" t="s">
        <v>387</v>
      </c>
      <c r="D32" s="15"/>
      <c r="E32" s="23"/>
      <c r="F32" s="23"/>
      <c r="G32" s="41"/>
      <c r="H32" s="18" t="str">
        <f t="shared" si="1"/>
        <v/>
      </c>
      <c r="I32" s="44"/>
      <c r="K32" s="41"/>
      <c r="L32" s="41"/>
      <c r="M32" s="41"/>
      <c r="N32" s="41"/>
    </row>
    <row r="33" spans="2:14" x14ac:dyDescent="0.25">
      <c r="B33" s="53"/>
      <c r="C33" s="15"/>
      <c r="D33" s="15"/>
      <c r="E33" s="23"/>
      <c r="F33" s="23"/>
      <c r="G33" s="51"/>
      <c r="H33" s="18" t="str">
        <f t="shared" si="1"/>
        <v/>
      </c>
      <c r="I33" s="44"/>
      <c r="K33" s="51"/>
      <c r="L33" s="51"/>
      <c r="M33" s="51"/>
      <c r="N33" s="51"/>
    </row>
    <row r="34" spans="2:14" ht="26.4" x14ac:dyDescent="0.25">
      <c r="B34" s="53" t="s">
        <v>398</v>
      </c>
      <c r="C34" s="15" t="s">
        <v>388</v>
      </c>
      <c r="D34" s="15"/>
      <c r="E34" s="23" t="s">
        <v>974</v>
      </c>
      <c r="F34" s="23">
        <v>50000</v>
      </c>
      <c r="G34" s="51">
        <v>1</v>
      </c>
      <c r="H34" s="18">
        <f t="shared" si="1"/>
        <v>50000</v>
      </c>
      <c r="I34" s="44"/>
      <c r="K34" s="51"/>
      <c r="L34" s="51"/>
      <c r="M34" s="51"/>
      <c r="N34" s="51"/>
    </row>
    <row r="35" spans="2:14" x14ac:dyDescent="0.25">
      <c r="B35" s="53"/>
      <c r="C35" s="15"/>
      <c r="D35" s="15"/>
      <c r="E35" s="23"/>
      <c r="F35" s="23"/>
      <c r="G35" s="41"/>
      <c r="H35" s="18" t="str">
        <f t="shared" si="1"/>
        <v/>
      </c>
      <c r="I35" s="44"/>
      <c r="K35" s="41"/>
      <c r="L35" s="41"/>
      <c r="M35" s="41"/>
      <c r="N35" s="41"/>
    </row>
    <row r="36" spans="2:14" x14ac:dyDescent="0.25">
      <c r="B36" s="53" t="s">
        <v>49</v>
      </c>
      <c r="C36" s="15" t="s">
        <v>389</v>
      </c>
      <c r="D36" s="15"/>
      <c r="E36" s="23" t="s">
        <v>36</v>
      </c>
      <c r="F36" s="198">
        <f>H34</f>
        <v>50000</v>
      </c>
      <c r="G36" s="199"/>
      <c r="H36" s="18">
        <f t="shared" si="1"/>
        <v>0</v>
      </c>
      <c r="I36" s="44"/>
      <c r="K36" s="199"/>
      <c r="L36" s="199"/>
      <c r="M36" s="199"/>
      <c r="N36" s="199"/>
    </row>
    <row r="37" spans="2:14" x14ac:dyDescent="0.25">
      <c r="B37" s="53"/>
      <c r="C37" s="15"/>
      <c r="D37" s="15"/>
      <c r="E37" s="23"/>
      <c r="F37" s="23"/>
      <c r="G37" s="41"/>
      <c r="H37" s="18" t="str">
        <f t="shared" si="1"/>
        <v/>
      </c>
      <c r="I37" s="44"/>
      <c r="K37" s="41"/>
      <c r="L37" s="41"/>
      <c r="M37" s="41"/>
      <c r="N37" s="41"/>
    </row>
    <row r="38" spans="2:14" x14ac:dyDescent="0.25">
      <c r="B38" s="53" t="s">
        <v>399</v>
      </c>
      <c r="C38" s="15" t="s">
        <v>390</v>
      </c>
      <c r="D38" s="15"/>
      <c r="E38" s="23" t="s">
        <v>974</v>
      </c>
      <c r="F38" s="23">
        <v>50000</v>
      </c>
      <c r="G38" s="41">
        <v>1</v>
      </c>
      <c r="H38" s="18">
        <f t="shared" si="1"/>
        <v>50000</v>
      </c>
      <c r="I38" s="44"/>
      <c r="K38" s="41"/>
      <c r="L38" s="41"/>
      <c r="M38" s="41"/>
      <c r="N38" s="41"/>
    </row>
    <row r="39" spans="2:14" x14ac:dyDescent="0.25">
      <c r="B39" s="53"/>
      <c r="C39" s="15"/>
      <c r="D39" s="15"/>
      <c r="E39" s="23"/>
      <c r="F39" s="23"/>
      <c r="G39" s="41"/>
      <c r="H39" s="18" t="str">
        <f t="shared" si="1"/>
        <v/>
      </c>
      <c r="I39" s="44"/>
      <c r="K39" s="41"/>
      <c r="L39" s="41"/>
      <c r="M39" s="41"/>
      <c r="N39" s="41"/>
    </row>
    <row r="40" spans="2:14" x14ac:dyDescent="0.25">
      <c r="B40" s="53" t="s">
        <v>49</v>
      </c>
      <c r="C40" s="15" t="s">
        <v>391</v>
      </c>
      <c r="D40" s="15"/>
      <c r="E40" s="23" t="s">
        <v>36</v>
      </c>
      <c r="F40" s="198">
        <f>H38</f>
        <v>50000</v>
      </c>
      <c r="G40" s="199"/>
      <c r="H40" s="18">
        <f t="shared" si="1"/>
        <v>0</v>
      </c>
      <c r="I40" s="44"/>
      <c r="K40" s="199"/>
      <c r="L40" s="199"/>
      <c r="M40" s="199"/>
      <c r="N40" s="199"/>
    </row>
    <row r="41" spans="2:14" x14ac:dyDescent="0.25">
      <c r="B41" s="53"/>
      <c r="C41" s="15"/>
      <c r="D41" s="15"/>
      <c r="E41" s="23"/>
      <c r="F41" s="23"/>
      <c r="G41" s="41"/>
      <c r="H41" s="18"/>
      <c r="I41" s="44"/>
      <c r="K41" s="41"/>
      <c r="L41" s="41"/>
      <c r="M41" s="41"/>
      <c r="N41" s="41"/>
    </row>
    <row r="42" spans="2:14" ht="26.4" x14ac:dyDescent="0.25">
      <c r="B42" s="53" t="s">
        <v>393</v>
      </c>
      <c r="C42" s="15" t="s">
        <v>392</v>
      </c>
      <c r="D42" s="15"/>
      <c r="E42" s="23" t="s">
        <v>21</v>
      </c>
      <c r="F42" s="23">
        <f>_Duration</f>
        <v>18</v>
      </c>
      <c r="G42" s="41"/>
      <c r="H42" s="18">
        <f>IF(E42="","",F42*G42)</f>
        <v>0</v>
      </c>
      <c r="I42" s="44"/>
      <c r="K42" s="41"/>
      <c r="L42" s="41"/>
      <c r="M42" s="41"/>
      <c r="N42" s="41"/>
    </row>
    <row r="43" spans="2:14" x14ac:dyDescent="0.25">
      <c r="B43" s="53"/>
      <c r="C43" s="15"/>
      <c r="D43" s="15"/>
      <c r="E43" s="23"/>
      <c r="F43" s="23"/>
      <c r="G43" s="41"/>
      <c r="H43" s="18"/>
      <c r="I43" s="44"/>
      <c r="K43" s="41"/>
      <c r="L43" s="41"/>
      <c r="M43" s="41"/>
      <c r="N43" s="41"/>
    </row>
    <row r="44" spans="2:14" x14ac:dyDescent="0.25">
      <c r="B44" s="53"/>
      <c r="C44" s="15"/>
      <c r="D44" s="15"/>
      <c r="E44" s="23"/>
      <c r="F44" s="23"/>
      <c r="G44" s="41"/>
      <c r="H44" s="18"/>
      <c r="I44" s="44"/>
      <c r="K44" s="41"/>
      <c r="L44" s="41"/>
      <c r="M44" s="41"/>
      <c r="N44" s="41"/>
    </row>
    <row r="45" spans="2:14" x14ac:dyDescent="0.25">
      <c r="B45" s="53"/>
      <c r="C45" s="15"/>
      <c r="D45" s="15"/>
      <c r="E45" s="23"/>
      <c r="F45" s="23"/>
      <c r="G45" s="41"/>
      <c r="H45" s="18"/>
      <c r="I45" s="44"/>
      <c r="K45" s="41"/>
      <c r="L45" s="41"/>
      <c r="M45" s="41"/>
      <c r="N45" s="41"/>
    </row>
    <row r="46" spans="2:14" x14ac:dyDescent="0.25">
      <c r="B46" s="53"/>
      <c r="C46" s="15"/>
      <c r="D46" s="15"/>
      <c r="E46" s="23"/>
      <c r="F46" s="23"/>
      <c r="G46" s="41"/>
      <c r="H46" s="18"/>
      <c r="I46" s="44"/>
      <c r="K46" s="41"/>
      <c r="L46" s="41"/>
      <c r="M46" s="41"/>
      <c r="N46" s="41"/>
    </row>
    <row r="47" spans="2:14" x14ac:dyDescent="0.25">
      <c r="B47" s="53"/>
      <c r="C47" s="15"/>
      <c r="D47" s="15"/>
      <c r="E47" s="23"/>
      <c r="F47" s="23"/>
      <c r="G47" s="41"/>
      <c r="H47" s="18"/>
      <c r="I47" s="44"/>
      <c r="K47" s="41"/>
      <c r="L47" s="41"/>
      <c r="M47" s="41"/>
      <c r="N47" s="41"/>
    </row>
    <row r="48" spans="2:14" x14ac:dyDescent="0.25">
      <c r="B48" s="53"/>
      <c r="C48" s="15"/>
      <c r="D48" s="15"/>
      <c r="E48" s="23"/>
      <c r="F48" s="23"/>
      <c r="G48" s="41"/>
      <c r="H48" s="18" t="str">
        <f t="shared" si="1"/>
        <v/>
      </c>
      <c r="I48" s="44"/>
      <c r="K48" s="41"/>
      <c r="L48" s="41"/>
      <c r="M48" s="41"/>
      <c r="N48" s="41"/>
    </row>
    <row r="49" spans="2:14" s="31" customFormat="1" ht="19.5" customHeight="1" x14ac:dyDescent="0.25">
      <c r="B49" s="151" t="str">
        <f>$B$11</f>
        <v>C20.1</v>
      </c>
      <c r="C49" s="33" t="str">
        <f>"TOTAL CARRIED FORWARD"&amp;IF(H49=H$1," TO SUMMARY (Page C"&amp;Page_A&amp;")","")</f>
        <v>TOTAL CARRIED FORWARD TO SUMMARY (Page C57)</v>
      </c>
      <c r="D49" s="33"/>
      <c r="E49" s="34"/>
      <c r="F49" s="35"/>
      <c r="G49" s="34"/>
      <c r="H49" s="36">
        <f>SUM(H10:H48)</f>
        <v>175000</v>
      </c>
      <c r="I49" s="37"/>
      <c r="K49" s="34"/>
      <c r="L49" s="34"/>
      <c r="M49" s="34"/>
      <c r="N49" s="34"/>
    </row>
  </sheetData>
  <mergeCells count="4">
    <mergeCell ref="F2:H2"/>
    <mergeCell ref="B6:G8"/>
    <mergeCell ref="H5:H8"/>
    <mergeCell ref="B5:G5"/>
  </mergeCells>
  <phoneticPr fontId="14" type="noConversion"/>
  <pageMargins left="0.62992125984251968" right="0.43307086614173229" top="0.62992125984251968" bottom="0.55118110236220474" header="0.51181102362204722" footer="0.31496062992125984"/>
  <pageSetup paperSize="9" scale="75" firstPageNumber="29" fitToHeight="0"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714A4-33B8-4221-94F8-32D4A183B52D}">
  <sheetPr>
    <tabColor theme="3" tint="0.59999389629810485"/>
  </sheetPr>
  <dimension ref="B1:N172"/>
  <sheetViews>
    <sheetView showGridLines="0" view="pageBreakPreview" topLeftCell="A9" zoomScaleNormal="100" zoomScaleSheetLayoutView="100" zoomScalePageLayoutView="150" workbookViewId="0">
      <selection activeCell="D114" sqref="D114"/>
    </sheetView>
  </sheetViews>
  <sheetFormatPr defaultColWidth="8.6640625" defaultRowHeight="13.2" x14ac:dyDescent="0.25"/>
  <cols>
    <col min="1" max="1" width="2" style="56" customWidth="1"/>
    <col min="2" max="2" width="8.44140625" style="59" customWidth="1"/>
    <col min="3" max="3" width="55.6640625" style="57" customWidth="1"/>
    <col min="4" max="4" width="6.5546875" style="57" customWidth="1"/>
    <col min="5" max="5" width="21.6640625" style="144" customWidth="1"/>
    <col min="6" max="6" width="1.44140625" style="56" customWidth="1"/>
    <col min="7" max="7" width="9.5546875" style="56" customWidth="1"/>
    <col min="8" max="8" width="11.44140625" style="145" customWidth="1"/>
    <col min="9" max="9" width="11.5546875" style="56" bestFit="1" customWidth="1"/>
    <col min="10" max="10" width="8.6640625" style="56"/>
    <col min="11" max="11" width="15.44140625" style="56" customWidth="1"/>
    <col min="12" max="12" width="12.5546875" style="56" customWidth="1"/>
    <col min="13" max="13" width="9.44140625" style="56" customWidth="1"/>
    <col min="14" max="16384" width="8.6640625" style="56"/>
  </cols>
  <sheetData>
    <row r="1" spans="2:14" x14ac:dyDescent="0.25">
      <c r="C1" s="59" t="str">
        <f>"Page C"&amp;Page_A</f>
        <v>Page C57</v>
      </c>
      <c r="E1" s="144">
        <f>E33</f>
        <v>1135000</v>
      </c>
    </row>
    <row r="2" spans="2:14" s="1" customFormat="1" ht="18" customHeight="1" x14ac:dyDescent="0.25">
      <c r="B2" s="2" t="str">
        <f>Client1</f>
        <v>Province of KwaZulu-Natal</v>
      </c>
      <c r="C2" s="3"/>
      <c r="D2" s="3"/>
      <c r="F2" s="6" t="str">
        <f>"Contract No. "&amp;ContractNo</f>
        <v>Contract No. ZNB02215/00000/00/HOD/INF/23/T</v>
      </c>
      <c r="G2" s="4"/>
      <c r="H2" s="238"/>
      <c r="L2" s="4"/>
    </row>
    <row r="3" spans="2:14" s="1" customFormat="1" ht="16.5" customHeight="1" x14ac:dyDescent="0.25">
      <c r="B3" s="96" t="str">
        <f>Client2</f>
        <v>Department of Transport</v>
      </c>
      <c r="C3" s="3"/>
      <c r="D3" s="3"/>
      <c r="E3" s="4"/>
      <c r="F3" s="4"/>
      <c r="G3" s="4"/>
      <c r="H3" s="238"/>
      <c r="J3" s="5"/>
      <c r="K3" s="5"/>
      <c r="L3" s="4"/>
    </row>
    <row r="4" spans="2:14" s="1" customFormat="1" ht="13.5" customHeight="1" x14ac:dyDescent="0.25">
      <c r="B4" s="237"/>
      <c r="C4" s="3"/>
      <c r="D4" s="3"/>
      <c r="E4" s="4"/>
      <c r="F4" s="4"/>
      <c r="G4" s="4"/>
      <c r="H4" s="238"/>
      <c r="J4" s="5"/>
      <c r="K4" s="5"/>
      <c r="L4" s="4"/>
    </row>
    <row r="5" spans="2:14" s="1" customFormat="1" ht="13.5" customHeight="1" x14ac:dyDescent="0.25">
      <c r="B5" s="360"/>
      <c r="C5" s="3"/>
      <c r="D5" s="3"/>
      <c r="E5" s="4"/>
      <c r="F5" s="4"/>
      <c r="G5" s="4"/>
      <c r="H5" s="238"/>
      <c r="J5" s="5"/>
      <c r="K5" s="5"/>
      <c r="L5" s="4"/>
    </row>
    <row r="6" spans="2:14" ht="12.75" customHeight="1" x14ac:dyDescent="0.25">
      <c r="B6" s="525" t="s">
        <v>8</v>
      </c>
      <c r="C6" s="526"/>
      <c r="D6" s="526"/>
      <c r="E6" s="526"/>
    </row>
    <row r="7" spans="2:14" ht="12.75" customHeight="1" x14ac:dyDescent="0.25">
      <c r="B7" s="9"/>
      <c r="C7" s="7"/>
      <c r="D7" s="7"/>
      <c r="E7" s="7"/>
    </row>
    <row r="8" spans="2:14" ht="12.75" customHeight="1" x14ac:dyDescent="0.25">
      <c r="B8" s="527" t="s">
        <v>1413</v>
      </c>
      <c r="C8" s="527"/>
      <c r="D8" s="527"/>
      <c r="E8" s="527"/>
    </row>
    <row r="9" spans="2:14" ht="12.75" customHeight="1" x14ac:dyDescent="0.25">
      <c r="B9" s="361"/>
      <c r="C9" s="361"/>
      <c r="D9" s="361"/>
      <c r="E9" s="361"/>
      <c r="F9" s="59"/>
      <c r="H9" s="59"/>
    </row>
    <row r="10" spans="2:14" ht="25.5" customHeight="1" x14ac:dyDescent="0.25">
      <c r="B10" s="526" t="str">
        <f>ContractDescription</f>
        <v>UPGRADING OF MAIN ROAD P8/3 FROM GRAVEL TO BLACKTOP BETWEEN KM 17.560 AND KM 24.221 IN THE PIETERMARITZBURG REGION</v>
      </c>
      <c r="C10" s="526"/>
      <c r="D10" s="526"/>
      <c r="E10" s="526"/>
    </row>
    <row r="11" spans="2:14" ht="5.25" customHeight="1" thickBot="1" x14ac:dyDescent="0.3">
      <c r="B11" s="528"/>
      <c r="C11" s="528"/>
      <c r="D11" s="528"/>
      <c r="E11" s="528"/>
    </row>
    <row r="12" spans="2:14" s="13" customFormat="1" ht="25.2" customHeight="1" thickBot="1" x14ac:dyDescent="0.3">
      <c r="B12" s="243" t="s">
        <v>970</v>
      </c>
      <c r="C12" s="244" t="s">
        <v>1</v>
      </c>
      <c r="D12" s="362" t="s">
        <v>951</v>
      </c>
      <c r="E12" s="245" t="s">
        <v>5</v>
      </c>
      <c r="H12" s="249"/>
    </row>
    <row r="13" spans="2:14" ht="21" customHeight="1" x14ac:dyDescent="0.25">
      <c r="B13" s="390" t="s">
        <v>16</v>
      </c>
      <c r="C13" s="391" t="s">
        <v>13</v>
      </c>
      <c r="D13" s="394">
        <f t="shared" ref="D13:D29" si="0">D14-G14</f>
        <v>31</v>
      </c>
      <c r="E13" s="384">
        <f>H13</f>
        <v>700000</v>
      </c>
      <c r="G13" s="396">
        <v>3</v>
      </c>
      <c r="H13" s="529">
        <f>'C1.2'!H1</f>
        <v>700000</v>
      </c>
      <c r="I13" s="530"/>
      <c r="J13" s="531"/>
    </row>
    <row r="14" spans="2:14" ht="26.4" x14ac:dyDescent="0.25">
      <c r="B14" s="392" t="s">
        <v>70</v>
      </c>
      <c r="C14" s="393" t="s">
        <v>71</v>
      </c>
      <c r="D14" s="394">
        <f t="shared" si="0"/>
        <v>32</v>
      </c>
      <c r="E14" s="314">
        <f t="shared" ref="E14:E31" si="1">H14</f>
        <v>0</v>
      </c>
      <c r="G14" s="397">
        <v>1</v>
      </c>
      <c r="H14" s="522">
        <f>'C1.3'!H1</f>
        <v>0</v>
      </c>
      <c r="I14" s="523">
        <f>'C1.3'!I11</f>
        <v>0</v>
      </c>
      <c r="J14" s="524" t="e">
        <f>'C1.3'!#REF!</f>
        <v>#REF!</v>
      </c>
      <c r="N14" s="56">
        <f>31+26</f>
        <v>57</v>
      </c>
    </row>
    <row r="15" spans="2:14" ht="21" customHeight="1" x14ac:dyDescent="0.25">
      <c r="B15" s="392" t="s">
        <v>81</v>
      </c>
      <c r="C15" s="393" t="s">
        <v>82</v>
      </c>
      <c r="D15" s="394">
        <f t="shared" si="0"/>
        <v>37</v>
      </c>
      <c r="E15" s="314">
        <f t="shared" si="1"/>
        <v>200000</v>
      </c>
      <c r="G15" s="397">
        <v>5</v>
      </c>
      <c r="H15" s="522">
        <f>'C1.4'!H1</f>
        <v>200000</v>
      </c>
      <c r="I15" s="523">
        <f>'C1.4'!I11</f>
        <v>0</v>
      </c>
      <c r="J15" s="524" t="e">
        <f>'C1.4'!#REF!</f>
        <v>#REF!</v>
      </c>
    </row>
    <row r="16" spans="2:14" ht="21" customHeight="1" x14ac:dyDescent="0.25">
      <c r="B16" s="392" t="s">
        <v>1362</v>
      </c>
      <c r="C16" s="393" t="s">
        <v>201</v>
      </c>
      <c r="D16" s="394">
        <f t="shared" si="0"/>
        <v>39</v>
      </c>
      <c r="E16" s="314">
        <f t="shared" si="1"/>
        <v>25000</v>
      </c>
      <c r="G16" s="397">
        <v>2</v>
      </c>
      <c r="H16" s="522">
        <f>'C1.5'!H1</f>
        <v>25000</v>
      </c>
      <c r="I16" s="523">
        <f>'C1.5'!I11</f>
        <v>0</v>
      </c>
      <c r="J16" s="524" t="e">
        <f>'C1.5'!#REF!</f>
        <v>#REF!</v>
      </c>
    </row>
    <row r="17" spans="2:10" ht="21" customHeight="1" x14ac:dyDescent="0.25">
      <c r="B17" s="392" t="s">
        <v>282</v>
      </c>
      <c r="C17" s="393" t="s">
        <v>283</v>
      </c>
      <c r="D17" s="394">
        <f t="shared" si="0"/>
        <v>40</v>
      </c>
      <c r="E17" s="314">
        <f t="shared" si="1"/>
        <v>0</v>
      </c>
      <c r="G17" s="397">
        <v>1</v>
      </c>
      <c r="H17" s="522">
        <f>'C1.7'!H1</f>
        <v>0</v>
      </c>
      <c r="I17" s="523">
        <f>'C1.7'!I11</f>
        <v>0</v>
      </c>
      <c r="J17" s="524" t="e">
        <f>'C1.7'!#REF!</f>
        <v>#REF!</v>
      </c>
    </row>
    <row r="18" spans="2:10" ht="21" customHeight="1" x14ac:dyDescent="0.25">
      <c r="B18" s="392" t="s">
        <v>701</v>
      </c>
      <c r="C18" s="393" t="s">
        <v>700</v>
      </c>
      <c r="D18" s="394">
        <f t="shared" si="0"/>
        <v>41</v>
      </c>
      <c r="E18" s="314">
        <f t="shared" si="1"/>
        <v>20000</v>
      </c>
      <c r="G18" s="397">
        <v>1</v>
      </c>
      <c r="H18" s="522">
        <f>'C2.1'!H1</f>
        <v>20000</v>
      </c>
      <c r="I18" s="523">
        <f>'C2.1'!I11</f>
        <v>0</v>
      </c>
      <c r="J18" s="524" t="e">
        <f>'C2.1'!#REF!</f>
        <v>#REF!</v>
      </c>
    </row>
    <row r="19" spans="2:10" ht="21" customHeight="1" x14ac:dyDescent="0.25">
      <c r="B19" s="392" t="s">
        <v>716</v>
      </c>
      <c r="C19" s="393" t="s">
        <v>715</v>
      </c>
      <c r="D19" s="394">
        <f t="shared" si="0"/>
        <v>42</v>
      </c>
      <c r="E19" s="314">
        <f t="shared" si="1"/>
        <v>0</v>
      </c>
      <c r="G19" s="397">
        <v>1</v>
      </c>
      <c r="H19" s="522">
        <f>'C2.2'!H1</f>
        <v>0</v>
      </c>
      <c r="I19" s="523">
        <f>'C2.2'!I11</f>
        <v>0</v>
      </c>
      <c r="J19" s="524" t="e">
        <f>'C2.2'!#REF!</f>
        <v>#REF!</v>
      </c>
    </row>
    <row r="20" spans="2:10" ht="21" customHeight="1" x14ac:dyDescent="0.25">
      <c r="B20" s="392" t="s">
        <v>961</v>
      </c>
      <c r="C20" s="393" t="s">
        <v>962</v>
      </c>
      <c r="D20" s="394">
        <f t="shared" si="0"/>
        <v>43</v>
      </c>
      <c r="E20" s="314">
        <f t="shared" si="1"/>
        <v>0</v>
      </c>
      <c r="G20" s="397">
        <v>1</v>
      </c>
      <c r="H20" s="522">
        <f>'C4.1'!H1</f>
        <v>0</v>
      </c>
      <c r="I20" s="523">
        <f>'C4.1'!I11</f>
        <v>0</v>
      </c>
      <c r="J20" s="524" t="e">
        <f>'C4.1'!#REF!</f>
        <v>#REF!</v>
      </c>
    </row>
    <row r="21" spans="2:10" ht="21" customHeight="1" x14ac:dyDescent="0.25">
      <c r="B21" s="392" t="s">
        <v>963</v>
      </c>
      <c r="C21" s="393" t="s">
        <v>964</v>
      </c>
      <c r="D21" s="394">
        <f t="shared" si="0"/>
        <v>44</v>
      </c>
      <c r="E21" s="314">
        <f t="shared" si="1"/>
        <v>0</v>
      </c>
      <c r="G21" s="397">
        <v>1</v>
      </c>
      <c r="H21" s="522">
        <f>'C4.2'!H1</f>
        <v>0</v>
      </c>
      <c r="I21" s="523">
        <f>'C4.2'!I11</f>
        <v>0</v>
      </c>
      <c r="J21" s="524" t="e">
        <f>'C4.2'!#REF!</f>
        <v>#REF!</v>
      </c>
    </row>
    <row r="22" spans="2:10" ht="21" customHeight="1" x14ac:dyDescent="0.25">
      <c r="B22" s="392" t="s">
        <v>973</v>
      </c>
      <c r="C22" s="393" t="s">
        <v>975</v>
      </c>
      <c r="D22" s="394">
        <f t="shared" si="0"/>
        <v>45</v>
      </c>
      <c r="E22" s="314">
        <f t="shared" si="1"/>
        <v>0</v>
      </c>
      <c r="G22" s="397">
        <v>1</v>
      </c>
      <c r="H22" s="522">
        <f>'C4.3'!H1</f>
        <v>0</v>
      </c>
      <c r="I22" s="523" t="e">
        <f>'C4.3'!#REF!</f>
        <v>#REF!</v>
      </c>
      <c r="J22" s="524" t="e">
        <f>'C4.3'!#REF!</f>
        <v>#REF!</v>
      </c>
    </row>
    <row r="23" spans="2:10" ht="21" customHeight="1" x14ac:dyDescent="0.25">
      <c r="B23" s="392" t="s">
        <v>673</v>
      </c>
      <c r="C23" s="393" t="s">
        <v>672</v>
      </c>
      <c r="D23" s="394">
        <f t="shared" si="0"/>
        <v>46</v>
      </c>
      <c r="E23" s="314">
        <f t="shared" si="1"/>
        <v>15000</v>
      </c>
      <c r="G23" s="397">
        <v>1</v>
      </c>
      <c r="H23" s="522">
        <f>'C4.4'!H1</f>
        <v>15000</v>
      </c>
      <c r="I23" s="523" t="e">
        <f>'C4.4'!#REF!</f>
        <v>#REF!</v>
      </c>
      <c r="J23" s="524" t="e">
        <f>'C4.4'!#REF!</f>
        <v>#REF!</v>
      </c>
    </row>
    <row r="24" spans="2:10" ht="21" customHeight="1" x14ac:dyDescent="0.25">
      <c r="B24" s="392" t="s">
        <v>306</v>
      </c>
      <c r="C24" s="393" t="s">
        <v>307</v>
      </c>
      <c r="D24" s="394">
        <f t="shared" si="0"/>
        <v>47</v>
      </c>
      <c r="E24" s="314">
        <f t="shared" si="1"/>
        <v>0</v>
      </c>
      <c r="G24" s="397">
        <v>1</v>
      </c>
      <c r="H24" s="522">
        <f>'C5.1'!H1</f>
        <v>0</v>
      </c>
      <c r="I24" s="523">
        <f>'C5.1'!I11</f>
        <v>0</v>
      </c>
      <c r="J24" s="524" t="e">
        <f>'C5.1'!#REF!</f>
        <v>#REF!</v>
      </c>
    </row>
    <row r="25" spans="2:10" ht="21" customHeight="1" x14ac:dyDescent="0.25">
      <c r="B25" s="392" t="s">
        <v>321</v>
      </c>
      <c r="C25" s="393" t="s">
        <v>322</v>
      </c>
      <c r="D25" s="394">
        <f t="shared" si="0"/>
        <v>48</v>
      </c>
      <c r="E25" s="314">
        <f t="shared" si="1"/>
        <v>0</v>
      </c>
      <c r="G25" s="397">
        <v>1</v>
      </c>
      <c r="H25" s="522">
        <f>'C5.2'!H1</f>
        <v>0</v>
      </c>
      <c r="I25" s="523">
        <f>'C5.2'!I11</f>
        <v>0</v>
      </c>
      <c r="J25" s="524" t="e">
        <f>'C5.2'!#REF!</f>
        <v>#REF!</v>
      </c>
    </row>
    <row r="26" spans="2:10" ht="21" customHeight="1" x14ac:dyDescent="0.25">
      <c r="B26" s="392" t="s">
        <v>333</v>
      </c>
      <c r="C26" s="393" t="s">
        <v>334</v>
      </c>
      <c r="D26" s="394">
        <f t="shared" si="0"/>
        <v>49</v>
      </c>
      <c r="E26" s="314">
        <f t="shared" si="1"/>
        <v>0</v>
      </c>
      <c r="G26" s="397">
        <v>1</v>
      </c>
      <c r="H26" s="522">
        <f>'C5.3'!H1</f>
        <v>0</v>
      </c>
      <c r="I26" s="523">
        <f>'C5.3'!I11</f>
        <v>0</v>
      </c>
      <c r="J26" s="524" t="e">
        <f>'C5.3'!#REF!</f>
        <v>#REF!</v>
      </c>
    </row>
    <row r="27" spans="2:10" ht="21" customHeight="1" x14ac:dyDescent="0.25">
      <c r="B27" s="392" t="s">
        <v>344</v>
      </c>
      <c r="C27" s="393" t="s">
        <v>345</v>
      </c>
      <c r="D27" s="394">
        <f t="shared" si="0"/>
        <v>50</v>
      </c>
      <c r="E27" s="314">
        <f t="shared" si="1"/>
        <v>0</v>
      </c>
      <c r="G27" s="397">
        <v>1</v>
      </c>
      <c r="H27" s="522">
        <f>'C5.4'!H1</f>
        <v>0</v>
      </c>
      <c r="I27" s="523">
        <f>'C5.4'!I11</f>
        <v>0</v>
      </c>
      <c r="J27" s="524" t="e">
        <f>'C5.4'!#REF!</f>
        <v>#REF!</v>
      </c>
    </row>
    <row r="28" spans="2:10" ht="21" customHeight="1" x14ac:dyDescent="0.25">
      <c r="B28" s="392" t="str">
        <f>'C8.1'!B11</f>
        <v>C8.1</v>
      </c>
      <c r="C28" s="393" t="str">
        <f>'C8.1'!C11</f>
        <v>PRIME COAT</v>
      </c>
      <c r="D28" s="394">
        <f t="shared" si="0"/>
        <v>51</v>
      </c>
      <c r="E28" s="314">
        <f>'C8.1'!H1</f>
        <v>0</v>
      </c>
      <c r="G28" s="397">
        <v>1</v>
      </c>
      <c r="H28" s="162"/>
      <c r="I28" s="57"/>
      <c r="J28" s="147"/>
    </row>
    <row r="29" spans="2:10" ht="21" customHeight="1" x14ac:dyDescent="0.25">
      <c r="B29" s="392" t="str">
        <f>'C10.1'!B11</f>
        <v>C10.1</v>
      </c>
      <c r="C29" s="393" t="str">
        <f>'C10.1'!C11</f>
        <v>GENERAL REQUIREMENTS FOR SURFACE TREATMENTS</v>
      </c>
      <c r="D29" s="394">
        <f t="shared" si="0"/>
        <v>52</v>
      </c>
      <c r="E29" s="314">
        <f>'C10.1'!H1</f>
        <v>0</v>
      </c>
      <c r="G29" s="397">
        <v>1</v>
      </c>
      <c r="H29" s="162"/>
      <c r="I29" s="57"/>
      <c r="J29" s="147"/>
    </row>
    <row r="30" spans="2:10" ht="21" customHeight="1" x14ac:dyDescent="0.25">
      <c r="B30" s="392" t="str">
        <f>'C11.6'!B11</f>
        <v>C11.6</v>
      </c>
      <c r="C30" s="393" t="str">
        <f>'C11.6'!C11</f>
        <v>ROAD SIGNS</v>
      </c>
      <c r="D30" s="394">
        <f>D31-G31</f>
        <v>55</v>
      </c>
      <c r="E30" s="314">
        <f>'C11.6'!H1</f>
        <v>0</v>
      </c>
      <c r="G30" s="397">
        <v>3</v>
      </c>
      <c r="H30" s="162"/>
      <c r="I30" s="57"/>
      <c r="J30" s="147"/>
    </row>
    <row r="31" spans="2:10" ht="21" customHeight="1" x14ac:dyDescent="0.25">
      <c r="B31" s="395" t="s">
        <v>376</v>
      </c>
      <c r="C31" s="393" t="s">
        <v>377</v>
      </c>
      <c r="D31" s="394">
        <f>Page_A-G31</f>
        <v>56</v>
      </c>
      <c r="E31" s="314">
        <f t="shared" si="1"/>
        <v>175000</v>
      </c>
      <c r="G31" s="397">
        <v>1</v>
      </c>
      <c r="H31" s="522">
        <f>'C20.1'!H1</f>
        <v>175000</v>
      </c>
      <c r="I31" s="523">
        <f>'C5.4'!I12</f>
        <v>0</v>
      </c>
      <c r="J31" s="524" t="e">
        <f>'C5.4'!#REF!</f>
        <v>#REF!</v>
      </c>
    </row>
    <row r="32" spans="2:10" ht="9" customHeight="1" thickBot="1" x14ac:dyDescent="0.3">
      <c r="B32" s="385"/>
      <c r="C32" s="386"/>
      <c r="D32" s="387"/>
      <c r="E32" s="388"/>
      <c r="G32" s="13"/>
      <c r="H32" s="257"/>
    </row>
    <row r="33" spans="2:5" ht="23.7" customHeight="1" thickBot="1" x14ac:dyDescent="0.3">
      <c r="B33" s="365" t="str" cm="1">
        <f t="array" ref="B33">"TOTAL CARRIED FORWARD TO SUMMARY (Page C"&amp;_Summary&amp;")"</f>
        <v>TOTAL CARRIED FORWARD TO SUMMARY (Page C64)</v>
      </c>
      <c r="C33" s="366"/>
      <c r="D33" s="367"/>
      <c r="E33" s="345">
        <f>SUM(E12:E32)</f>
        <v>1135000</v>
      </c>
    </row>
    <row r="34" spans="2:5" x14ac:dyDescent="0.25">
      <c r="E34" s="303"/>
    </row>
    <row r="37" spans="2:5" x14ac:dyDescent="0.25">
      <c r="C37" s="56"/>
    </row>
    <row r="74" spans="2:8" x14ac:dyDescent="0.25">
      <c r="B74" s="361"/>
      <c r="C74" s="361"/>
      <c r="D74" s="361"/>
      <c r="E74" s="361"/>
      <c r="F74" s="59"/>
      <c r="G74" s="59"/>
      <c r="H74" s="59"/>
    </row>
    <row r="172" spans="2:8" x14ac:dyDescent="0.25">
      <c r="B172" s="361"/>
      <c r="C172" s="361"/>
      <c r="D172" s="361"/>
      <c r="E172" s="361"/>
      <c r="F172" s="59"/>
      <c r="G172" s="59"/>
      <c r="H172" s="59"/>
    </row>
  </sheetData>
  <mergeCells count="20">
    <mergeCell ref="H18:J18"/>
    <mergeCell ref="H19:J19"/>
    <mergeCell ref="B6:E6"/>
    <mergeCell ref="B8:E8"/>
    <mergeCell ref="B11:E11"/>
    <mergeCell ref="H13:J13"/>
    <mergeCell ref="H14:J14"/>
    <mergeCell ref="H15:J15"/>
    <mergeCell ref="H16:J16"/>
    <mergeCell ref="H17:J17"/>
    <mergeCell ref="B10:E10"/>
    <mergeCell ref="H26:J26"/>
    <mergeCell ref="H27:J27"/>
    <mergeCell ref="H31:J31"/>
    <mergeCell ref="H20:J20"/>
    <mergeCell ref="H21:J21"/>
    <mergeCell ref="H22:J22"/>
    <mergeCell ref="H23:J23"/>
    <mergeCell ref="H24:J24"/>
    <mergeCell ref="H25:J25"/>
  </mergeCells>
  <pageMargins left="0.62992125984251968" right="0.43307086614173229" top="0.62992125984251968" bottom="0.55118110236220474" header="0.51181102362204722" footer="0.31496062992125984"/>
  <pageSetup paperSize="9" scale="85"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FBFEB-7192-412E-8F11-FDF179FD734E}">
  <dimension ref="B1:I66"/>
  <sheetViews>
    <sheetView view="pageBreakPreview" zoomScaleNormal="125" zoomScaleSheetLayoutView="100" zoomScalePageLayoutView="125" workbookViewId="0">
      <selection activeCell="G63" sqref="G63"/>
    </sheetView>
  </sheetViews>
  <sheetFormatPr defaultColWidth="6.6640625" defaultRowHeight="13.2" x14ac:dyDescent="0.25"/>
  <cols>
    <col min="1" max="1" width="0.6640625" style="1" customWidth="1"/>
    <col min="2" max="2" width="11.5546875" style="38" customWidth="1"/>
    <col min="3" max="3" width="45.5546875" style="3" customWidth="1"/>
    <col min="4" max="4" width="4.44140625" style="3" customWidth="1"/>
    <col min="5" max="5" width="13.5546875" style="4" customWidth="1"/>
    <col min="6" max="6" width="15.5546875" style="4" customWidth="1"/>
    <col min="7" max="7" width="14" style="1" customWidth="1"/>
    <col min="8" max="8" width="15.5546875" style="5" customWidth="1"/>
    <col min="9" max="9" width="0.6640625" style="5" customWidth="1"/>
    <col min="10" max="16384" width="6.6640625" style="1"/>
  </cols>
  <sheetData>
    <row r="1" spans="2:9" x14ac:dyDescent="0.25">
      <c r="H1" s="5">
        <f>MAX(H9:H498)</f>
        <v>3050000</v>
      </c>
    </row>
    <row r="2" spans="2:9" x14ac:dyDescent="0.25">
      <c r="B2" s="2" t="str">
        <f>Client1</f>
        <v>Province of KwaZulu-Natal</v>
      </c>
      <c r="F2" s="510" t="str">
        <f>"Contract No. "&amp;ContractNo</f>
        <v>Contract No. ZNB02215/00000/00/HOD/INF/23/T</v>
      </c>
      <c r="G2" s="510"/>
      <c r="H2" s="510"/>
    </row>
    <row r="3" spans="2:9" x14ac:dyDescent="0.25">
      <c r="B3" s="96" t="str">
        <f>Client2</f>
        <v>Department of Transport</v>
      </c>
    </row>
    <row r="4" spans="2:9" x14ac:dyDescent="0.25">
      <c r="B4" s="84"/>
      <c r="C4" s="84"/>
      <c r="D4" s="84"/>
      <c r="E4" s="85"/>
      <c r="F4" s="85"/>
      <c r="G4" s="86"/>
      <c r="H4" s="98"/>
    </row>
    <row r="5" spans="2:9" x14ac:dyDescent="0.25">
      <c r="B5" s="507" t="s">
        <v>1048</v>
      </c>
      <c r="C5" s="508"/>
      <c r="D5" s="508"/>
      <c r="E5" s="508"/>
      <c r="F5" s="508"/>
      <c r="G5" s="508"/>
      <c r="H5" s="535" t="str">
        <f>"CHAPTER "&amp;B11</f>
        <v>CHAPTER E</v>
      </c>
      <c r="I5" s="6"/>
    </row>
    <row r="6" spans="2:9" ht="7.5" customHeight="1" x14ac:dyDescent="0.25">
      <c r="B6" s="500" t="str">
        <f>ContractDescription</f>
        <v>UPGRADING OF MAIN ROAD P8/3 FROM GRAVEL TO BLACKTOP BETWEEN KM 17.560 AND KM 24.221 IN THE PIETERMARITZBURG REGION</v>
      </c>
      <c r="C6" s="501"/>
      <c r="D6" s="501"/>
      <c r="E6" s="501"/>
      <c r="F6" s="501"/>
      <c r="G6" s="501"/>
      <c r="H6" s="536"/>
      <c r="I6" s="9"/>
    </row>
    <row r="7" spans="2:9" ht="12.75" customHeight="1" x14ac:dyDescent="0.25">
      <c r="B7" s="500"/>
      <c r="C7" s="501"/>
      <c r="D7" s="501"/>
      <c r="E7" s="501"/>
      <c r="F7" s="501"/>
      <c r="G7" s="501"/>
      <c r="H7" s="536"/>
      <c r="I7" s="9"/>
    </row>
    <row r="8" spans="2:9" ht="7.5" customHeight="1" x14ac:dyDescent="0.25">
      <c r="B8" s="502"/>
      <c r="C8" s="503"/>
      <c r="D8" s="503"/>
      <c r="E8" s="503"/>
      <c r="F8" s="503"/>
      <c r="G8" s="503"/>
      <c r="H8" s="537"/>
      <c r="I8" s="9"/>
    </row>
    <row r="9" spans="2:9" s="10" customFormat="1" ht="25.2" customHeight="1" x14ac:dyDescent="0.25">
      <c r="B9" s="11" t="s">
        <v>0</v>
      </c>
      <c r="C9" s="12" t="s">
        <v>1</v>
      </c>
      <c r="D9" s="12" t="s">
        <v>1602</v>
      </c>
      <c r="E9" s="12" t="s">
        <v>2</v>
      </c>
      <c r="F9" s="12" t="s">
        <v>3</v>
      </c>
      <c r="G9" s="12" t="s">
        <v>4</v>
      </c>
      <c r="H9" s="12" t="s">
        <v>5</v>
      </c>
      <c r="I9" s="13"/>
    </row>
    <row r="10" spans="2:9" x14ac:dyDescent="0.25">
      <c r="B10" s="14"/>
      <c r="C10" s="15"/>
      <c r="D10" s="15"/>
      <c r="E10" s="16"/>
      <c r="F10" s="16"/>
      <c r="G10" s="17"/>
      <c r="H10" s="18" t="str">
        <f t="shared" ref="H10:H41" si="0">IF(E10="","",F10*G10)</f>
        <v/>
      </c>
      <c r="I10" s="19"/>
    </row>
    <row r="11" spans="2:9" ht="26.4" x14ac:dyDescent="0.25">
      <c r="B11" s="80" t="s">
        <v>1021</v>
      </c>
      <c r="C11" s="21" t="s">
        <v>948</v>
      </c>
      <c r="D11" s="21"/>
      <c r="E11" s="23"/>
      <c r="F11" s="23"/>
      <c r="G11" s="43"/>
      <c r="H11" s="18" t="str">
        <f t="shared" si="0"/>
        <v/>
      </c>
      <c r="I11" s="44"/>
    </row>
    <row r="12" spans="2:9" x14ac:dyDescent="0.25">
      <c r="B12" s="53"/>
      <c r="C12" s="15"/>
      <c r="D12" s="15"/>
      <c r="E12" s="23"/>
      <c r="F12" s="23"/>
      <c r="G12" s="43"/>
      <c r="H12" s="18" t="str">
        <f t="shared" si="0"/>
        <v/>
      </c>
      <c r="I12" s="44"/>
    </row>
    <row r="13" spans="2:9" ht="26.4" x14ac:dyDescent="0.25">
      <c r="B13" s="53" t="s">
        <v>1030</v>
      </c>
      <c r="C13" s="15" t="s">
        <v>949</v>
      </c>
      <c r="D13" s="15"/>
      <c r="E13" s="23" t="s">
        <v>11</v>
      </c>
      <c r="F13" s="318">
        <v>1</v>
      </c>
      <c r="G13" s="319"/>
      <c r="H13" s="18">
        <f t="shared" si="0"/>
        <v>0</v>
      </c>
      <c r="I13" s="44"/>
    </row>
    <row r="14" spans="2:9" x14ac:dyDescent="0.25">
      <c r="B14" s="80"/>
      <c r="C14" s="15"/>
      <c r="D14" s="15"/>
      <c r="E14" s="23"/>
      <c r="F14" s="320"/>
      <c r="G14" s="321"/>
      <c r="H14" s="18" t="str">
        <f t="shared" si="0"/>
        <v/>
      </c>
      <c r="I14" s="44"/>
    </row>
    <row r="15" spans="2:9" ht="26.4" x14ac:dyDescent="0.25">
      <c r="B15" s="53" t="s">
        <v>1022</v>
      </c>
      <c r="C15" s="15" t="s">
        <v>1012</v>
      </c>
      <c r="D15" s="15"/>
      <c r="E15" s="23"/>
      <c r="F15" s="320"/>
      <c r="G15" s="321"/>
      <c r="H15" s="18" t="str">
        <f t="shared" si="0"/>
        <v/>
      </c>
      <c r="I15" s="45"/>
    </row>
    <row r="16" spans="2:9" x14ac:dyDescent="0.25">
      <c r="B16" s="80"/>
      <c r="C16" s="15"/>
      <c r="D16" s="15"/>
      <c r="E16" s="23"/>
      <c r="F16" s="320"/>
      <c r="G16" s="322"/>
      <c r="H16" s="18" t="str">
        <f t="shared" si="0"/>
        <v/>
      </c>
      <c r="I16" s="45"/>
    </row>
    <row r="17" spans="2:9" x14ac:dyDescent="0.25">
      <c r="B17" s="53" t="s">
        <v>49</v>
      </c>
      <c r="C17" s="15" t="s">
        <v>995</v>
      </c>
      <c r="D17" s="15"/>
      <c r="E17" s="23"/>
      <c r="F17" s="320"/>
      <c r="G17" s="321"/>
      <c r="H17" s="18" t="str">
        <f t="shared" si="0"/>
        <v/>
      </c>
      <c r="I17" s="45"/>
    </row>
    <row r="18" spans="2:9" x14ac:dyDescent="0.25">
      <c r="B18" s="80"/>
      <c r="C18" s="15"/>
      <c r="D18" s="15"/>
      <c r="E18" s="23"/>
      <c r="F18" s="320"/>
      <c r="G18" s="321"/>
      <c r="H18" s="18" t="str">
        <f t="shared" si="0"/>
        <v/>
      </c>
      <c r="I18" s="45"/>
    </row>
    <row r="19" spans="2:9" x14ac:dyDescent="0.25">
      <c r="B19" s="53" t="s">
        <v>233</v>
      </c>
      <c r="C19" s="15" t="s">
        <v>993</v>
      </c>
      <c r="D19" s="15"/>
      <c r="E19" s="23" t="s">
        <v>648</v>
      </c>
      <c r="F19" s="323">
        <v>500000</v>
      </c>
      <c r="G19" s="321">
        <v>1</v>
      </c>
      <c r="H19" s="18">
        <f t="shared" si="0"/>
        <v>500000</v>
      </c>
      <c r="I19" s="44"/>
    </row>
    <row r="20" spans="2:9" x14ac:dyDescent="0.25">
      <c r="B20" s="53"/>
      <c r="C20" s="15"/>
      <c r="D20" s="15"/>
      <c r="E20" s="23"/>
      <c r="F20" s="323"/>
      <c r="G20" s="321"/>
      <c r="H20" s="18" t="str">
        <f t="shared" si="0"/>
        <v/>
      </c>
      <c r="I20" s="44"/>
    </row>
    <row r="21" spans="2:9" ht="26.4" x14ac:dyDescent="0.25">
      <c r="B21" s="53" t="s">
        <v>235</v>
      </c>
      <c r="C21" s="15" t="s">
        <v>1023</v>
      </c>
      <c r="D21" s="15"/>
      <c r="E21" s="23" t="s">
        <v>36</v>
      </c>
      <c r="F21" s="323">
        <f>F19</f>
        <v>500000</v>
      </c>
      <c r="G21" s="324"/>
      <c r="H21" s="18">
        <f t="shared" si="0"/>
        <v>0</v>
      </c>
    </row>
    <row r="22" spans="2:9" x14ac:dyDescent="0.25">
      <c r="B22" s="53"/>
      <c r="C22" s="1"/>
      <c r="D22" s="1"/>
      <c r="E22" s="23"/>
      <c r="F22" s="323"/>
      <c r="G22" s="321"/>
      <c r="H22" s="18" t="str">
        <f t="shared" si="0"/>
        <v/>
      </c>
    </row>
    <row r="23" spans="2:9" x14ac:dyDescent="0.25">
      <c r="B23" s="53" t="s">
        <v>51</v>
      </c>
      <c r="C23" s="15" t="s">
        <v>994</v>
      </c>
      <c r="D23" s="15"/>
      <c r="E23" s="23"/>
      <c r="F23" s="323"/>
      <c r="G23" s="321"/>
      <c r="H23" s="18" t="str">
        <f t="shared" si="0"/>
        <v/>
      </c>
    </row>
    <row r="24" spans="2:9" x14ac:dyDescent="0.25">
      <c r="B24" s="53"/>
      <c r="C24" s="15"/>
      <c r="D24" s="15"/>
      <c r="E24" s="23"/>
      <c r="F24" s="323"/>
      <c r="G24" s="321"/>
      <c r="H24" s="18" t="str">
        <f t="shared" si="0"/>
        <v/>
      </c>
    </row>
    <row r="25" spans="2:9" x14ac:dyDescent="0.25">
      <c r="B25" s="53" t="s">
        <v>319</v>
      </c>
      <c r="C25" s="15" t="s">
        <v>993</v>
      </c>
      <c r="D25" s="15"/>
      <c r="E25" s="23" t="s">
        <v>648</v>
      </c>
      <c r="F25" s="323">
        <v>500000</v>
      </c>
      <c r="G25" s="321">
        <v>1</v>
      </c>
      <c r="H25" s="18">
        <f t="shared" si="0"/>
        <v>500000</v>
      </c>
    </row>
    <row r="26" spans="2:9" x14ac:dyDescent="0.25">
      <c r="B26" s="53"/>
      <c r="C26" s="15"/>
      <c r="D26" s="15"/>
      <c r="E26" s="23"/>
      <c r="F26" s="323"/>
      <c r="G26" s="321"/>
      <c r="H26" s="18" t="str">
        <f t="shared" si="0"/>
        <v/>
      </c>
    </row>
    <row r="27" spans="2:9" ht="26.4" x14ac:dyDescent="0.25">
      <c r="B27" s="53" t="s">
        <v>320</v>
      </c>
      <c r="C27" s="15" t="s">
        <v>1024</v>
      </c>
      <c r="D27" s="15"/>
      <c r="E27" s="23" t="s">
        <v>36</v>
      </c>
      <c r="F27" s="323">
        <f>F25</f>
        <v>500000</v>
      </c>
      <c r="G27" s="324"/>
      <c r="H27" s="18">
        <f t="shared" si="0"/>
        <v>0</v>
      </c>
      <c r="I27" s="45"/>
    </row>
    <row r="28" spans="2:9" x14ac:dyDescent="0.25">
      <c r="B28" s="53"/>
      <c r="C28" s="15"/>
      <c r="D28" s="15"/>
      <c r="E28" s="23"/>
      <c r="F28" s="323"/>
      <c r="G28" s="321"/>
      <c r="H28" s="18" t="str">
        <f t="shared" si="0"/>
        <v/>
      </c>
      <c r="I28" s="19"/>
    </row>
    <row r="29" spans="2:9" s="39" customFormat="1" x14ac:dyDescent="0.25">
      <c r="B29" s="53" t="s">
        <v>52</v>
      </c>
      <c r="C29" s="15" t="s">
        <v>996</v>
      </c>
      <c r="D29" s="15"/>
      <c r="E29" s="23"/>
      <c r="F29" s="323"/>
      <c r="G29" s="321"/>
      <c r="H29" s="18" t="str">
        <f t="shared" si="0"/>
        <v/>
      </c>
      <c r="I29" s="19"/>
    </row>
    <row r="30" spans="2:9" x14ac:dyDescent="0.25">
      <c r="B30" s="53"/>
      <c r="C30" s="15"/>
      <c r="D30" s="15"/>
      <c r="E30" s="23"/>
      <c r="F30" s="323"/>
      <c r="G30" s="321"/>
      <c r="H30" s="18" t="str">
        <f t="shared" si="0"/>
        <v/>
      </c>
      <c r="I30" s="45"/>
    </row>
    <row r="31" spans="2:9" x14ac:dyDescent="0.25">
      <c r="B31" s="53" t="s">
        <v>366</v>
      </c>
      <c r="C31" s="15" t="s">
        <v>993</v>
      </c>
      <c r="D31" s="15"/>
      <c r="E31" s="23" t="s">
        <v>648</v>
      </c>
      <c r="F31" s="323">
        <v>500000</v>
      </c>
      <c r="G31" s="321">
        <v>1</v>
      </c>
      <c r="H31" s="18">
        <f t="shared" si="0"/>
        <v>500000</v>
      </c>
      <c r="I31" s="45"/>
    </row>
    <row r="32" spans="2:9" x14ac:dyDescent="0.25">
      <c r="B32" s="53"/>
      <c r="C32" s="15"/>
      <c r="D32" s="15"/>
      <c r="E32" s="23"/>
      <c r="F32" s="323"/>
      <c r="G32" s="321"/>
      <c r="H32" s="18" t="str">
        <f t="shared" si="0"/>
        <v/>
      </c>
      <c r="I32" s="44"/>
    </row>
    <row r="33" spans="2:9" ht="26.4" x14ac:dyDescent="0.25">
      <c r="B33" s="53" t="s">
        <v>367</v>
      </c>
      <c r="C33" s="15" t="s">
        <v>1025</v>
      </c>
      <c r="D33" s="15"/>
      <c r="E33" s="23" t="s">
        <v>36</v>
      </c>
      <c r="F33" s="323">
        <f>F31</f>
        <v>500000</v>
      </c>
      <c r="G33" s="324"/>
      <c r="H33" s="18">
        <f t="shared" si="0"/>
        <v>0</v>
      </c>
      <c r="I33" s="44"/>
    </row>
    <row r="34" spans="2:9" x14ac:dyDescent="0.25">
      <c r="B34" s="53"/>
      <c r="C34" s="15"/>
      <c r="D34" s="15"/>
      <c r="E34" s="23"/>
      <c r="F34" s="323"/>
      <c r="G34" s="321"/>
      <c r="H34" s="18" t="str">
        <f t="shared" si="0"/>
        <v/>
      </c>
      <c r="I34" s="44"/>
    </row>
    <row r="35" spans="2:9" ht="27.75" customHeight="1" x14ac:dyDescent="0.25">
      <c r="B35" s="53" t="s">
        <v>53</v>
      </c>
      <c r="C35" s="15" t="s">
        <v>1014</v>
      </c>
      <c r="D35" s="15"/>
      <c r="E35" s="23"/>
      <c r="F35" s="323"/>
      <c r="G35" s="321"/>
      <c r="H35" s="18" t="str">
        <f t="shared" si="0"/>
        <v/>
      </c>
      <c r="I35" s="44"/>
    </row>
    <row r="36" spans="2:9" x14ac:dyDescent="0.25">
      <c r="B36" s="53"/>
      <c r="C36" s="15"/>
      <c r="D36" s="15"/>
      <c r="E36" s="23"/>
      <c r="F36" s="323"/>
      <c r="G36" s="321"/>
      <c r="H36" s="18" t="str">
        <f t="shared" si="0"/>
        <v/>
      </c>
      <c r="I36" s="44"/>
    </row>
    <row r="37" spans="2:9" x14ac:dyDescent="0.25">
      <c r="B37" s="53" t="s">
        <v>382</v>
      </c>
      <c r="C37" s="15" t="s">
        <v>1015</v>
      </c>
      <c r="D37" s="15"/>
      <c r="E37" s="23" t="s">
        <v>648</v>
      </c>
      <c r="F37" s="323">
        <v>100000</v>
      </c>
      <c r="G37" s="321">
        <v>1</v>
      </c>
      <c r="H37" s="18">
        <f t="shared" si="0"/>
        <v>100000</v>
      </c>
      <c r="I37" s="44"/>
    </row>
    <row r="38" spans="2:9" x14ac:dyDescent="0.25">
      <c r="B38" s="53"/>
      <c r="C38" s="15"/>
      <c r="D38" s="15"/>
      <c r="E38" s="23"/>
      <c r="F38" s="323"/>
      <c r="G38" s="321"/>
      <c r="H38" s="18" t="str">
        <f t="shared" si="0"/>
        <v/>
      </c>
      <c r="I38" s="44"/>
    </row>
    <row r="39" spans="2:9" ht="26.4" x14ac:dyDescent="0.25">
      <c r="B39" s="53" t="s">
        <v>997</v>
      </c>
      <c r="C39" s="15" t="s">
        <v>1026</v>
      </c>
      <c r="D39" s="15"/>
      <c r="E39" s="23" t="s">
        <v>36</v>
      </c>
      <c r="F39" s="323">
        <f>F37</f>
        <v>100000</v>
      </c>
      <c r="G39" s="324"/>
      <c r="H39" s="18">
        <f t="shared" si="0"/>
        <v>0</v>
      </c>
      <c r="I39" s="44"/>
    </row>
    <row r="40" spans="2:9" x14ac:dyDescent="0.25">
      <c r="B40" s="53"/>
      <c r="C40" s="15"/>
      <c r="D40" s="15"/>
      <c r="E40" s="23"/>
      <c r="F40" s="323"/>
      <c r="G40" s="321"/>
      <c r="H40" s="18" t="str">
        <f t="shared" si="0"/>
        <v/>
      </c>
      <c r="I40" s="44"/>
    </row>
    <row r="41" spans="2:9" x14ac:dyDescent="0.25">
      <c r="B41" s="53" t="s">
        <v>1027</v>
      </c>
      <c r="C41" s="15" t="s">
        <v>1016</v>
      </c>
      <c r="D41" s="15"/>
      <c r="E41" s="23"/>
      <c r="F41" s="323"/>
      <c r="G41" s="321"/>
      <c r="H41" s="18" t="str">
        <f t="shared" si="0"/>
        <v/>
      </c>
      <c r="I41" s="44"/>
    </row>
    <row r="42" spans="2:9" x14ac:dyDescent="0.25">
      <c r="B42" s="53"/>
      <c r="C42" s="15"/>
      <c r="D42" s="15"/>
      <c r="E42" s="23"/>
      <c r="F42" s="323"/>
      <c r="G42" s="321"/>
      <c r="H42" s="18" t="str">
        <f t="shared" ref="H42:H60" si="1">IF(E42="","",F42*G42)</f>
        <v/>
      </c>
      <c r="I42" s="44"/>
    </row>
    <row r="43" spans="2:9" x14ac:dyDescent="0.25">
      <c r="B43" s="53" t="s">
        <v>49</v>
      </c>
      <c r="C43" s="15" t="s">
        <v>1017</v>
      </c>
      <c r="D43" s="15"/>
      <c r="E43" s="23" t="s">
        <v>648</v>
      </c>
      <c r="F43" s="323">
        <v>500000</v>
      </c>
      <c r="G43" s="321">
        <v>1</v>
      </c>
      <c r="H43" s="18">
        <f t="shared" si="1"/>
        <v>500000</v>
      </c>
      <c r="I43" s="44"/>
    </row>
    <row r="44" spans="2:9" x14ac:dyDescent="0.25">
      <c r="B44" s="53"/>
      <c r="C44" s="15"/>
      <c r="D44" s="15"/>
      <c r="E44" s="23"/>
      <c r="F44" s="323"/>
      <c r="G44" s="321"/>
      <c r="H44" s="18" t="str">
        <f t="shared" si="1"/>
        <v/>
      </c>
      <c r="I44" s="44"/>
    </row>
    <row r="45" spans="2:9" x14ac:dyDescent="0.25">
      <c r="B45" s="53" t="s">
        <v>51</v>
      </c>
      <c r="C45" s="15" t="s">
        <v>1000</v>
      </c>
      <c r="D45" s="15"/>
      <c r="E45" s="23" t="s">
        <v>648</v>
      </c>
      <c r="F45" s="323">
        <v>50000</v>
      </c>
      <c r="G45" s="321">
        <v>1</v>
      </c>
      <c r="H45" s="18">
        <f t="shared" si="1"/>
        <v>50000</v>
      </c>
      <c r="I45" s="44"/>
    </row>
    <row r="46" spans="2:9" x14ac:dyDescent="0.25">
      <c r="B46" s="53"/>
      <c r="C46" s="15"/>
      <c r="D46" s="15"/>
      <c r="E46" s="23"/>
      <c r="F46" s="323"/>
      <c r="G46" s="321"/>
      <c r="H46" s="18" t="str">
        <f t="shared" si="1"/>
        <v/>
      </c>
      <c r="I46" s="44"/>
    </row>
    <row r="47" spans="2:9" ht="26.4" x14ac:dyDescent="0.25">
      <c r="B47" s="53" t="s">
        <v>65</v>
      </c>
      <c r="C47" s="15" t="s">
        <v>1028</v>
      </c>
      <c r="D47" s="15"/>
      <c r="E47" s="23" t="s">
        <v>36</v>
      </c>
      <c r="F47" s="323">
        <f>F43+F45</f>
        <v>550000</v>
      </c>
      <c r="G47" s="324"/>
      <c r="H47" s="18">
        <f t="shared" si="1"/>
        <v>0</v>
      </c>
      <c r="I47" s="44"/>
    </row>
    <row r="48" spans="2:9" x14ac:dyDescent="0.25">
      <c r="B48" s="53"/>
      <c r="C48" s="15"/>
      <c r="D48" s="15"/>
      <c r="E48" s="23"/>
      <c r="F48" s="323"/>
      <c r="G48" s="321"/>
      <c r="H48" s="18" t="str">
        <f t="shared" si="1"/>
        <v/>
      </c>
      <c r="I48" s="44"/>
    </row>
    <row r="49" spans="2:9" x14ac:dyDescent="0.25">
      <c r="B49" s="53" t="s">
        <v>53</v>
      </c>
      <c r="C49" s="15" t="s">
        <v>1018</v>
      </c>
      <c r="D49" s="15"/>
      <c r="E49" s="23"/>
      <c r="F49" s="323"/>
      <c r="G49" s="321"/>
      <c r="H49" s="18" t="str">
        <f t="shared" si="1"/>
        <v/>
      </c>
      <c r="I49" s="44"/>
    </row>
    <row r="50" spans="2:9" x14ac:dyDescent="0.25">
      <c r="B50" s="53"/>
      <c r="C50" s="15"/>
      <c r="D50" s="15"/>
      <c r="E50" s="23"/>
      <c r="F50" s="323"/>
      <c r="G50" s="321"/>
      <c r="H50" s="18" t="str">
        <f t="shared" si="1"/>
        <v/>
      </c>
      <c r="I50" s="44"/>
    </row>
    <row r="51" spans="2:9" x14ac:dyDescent="0.25">
      <c r="B51" s="53" t="s">
        <v>382</v>
      </c>
      <c r="C51" s="15" t="s">
        <v>1019</v>
      </c>
      <c r="D51" s="15"/>
      <c r="E51" s="23" t="s">
        <v>648</v>
      </c>
      <c r="F51" s="323">
        <v>900000</v>
      </c>
      <c r="G51" s="321">
        <v>1</v>
      </c>
      <c r="H51" s="18">
        <f t="shared" si="1"/>
        <v>900000</v>
      </c>
      <c r="I51" s="44"/>
    </row>
    <row r="52" spans="2:9" x14ac:dyDescent="0.25">
      <c r="B52" s="53"/>
      <c r="C52" s="15"/>
      <c r="D52" s="15"/>
      <c r="E52" s="23"/>
      <c r="F52" s="323"/>
      <c r="G52" s="321"/>
      <c r="H52" s="18" t="str">
        <f t="shared" si="1"/>
        <v/>
      </c>
      <c r="I52" s="44"/>
    </row>
    <row r="53" spans="2:9" ht="26.4" x14ac:dyDescent="0.25">
      <c r="B53" s="53" t="s">
        <v>997</v>
      </c>
      <c r="C53" s="15" t="s">
        <v>1029</v>
      </c>
      <c r="D53" s="15"/>
      <c r="E53" s="23" t="s">
        <v>36</v>
      </c>
      <c r="F53" s="323">
        <f>F51</f>
        <v>900000</v>
      </c>
      <c r="G53" s="324"/>
      <c r="H53" s="18">
        <f t="shared" si="1"/>
        <v>0</v>
      </c>
      <c r="I53" s="44"/>
    </row>
    <row r="54" spans="2:9" x14ac:dyDescent="0.25">
      <c r="B54" s="53"/>
      <c r="C54" s="15"/>
      <c r="D54" s="15"/>
      <c r="E54" s="40"/>
      <c r="F54" s="323"/>
      <c r="G54" s="321"/>
      <c r="H54" s="18" t="str">
        <f t="shared" si="1"/>
        <v/>
      </c>
    </row>
    <row r="55" spans="2:9" ht="26.4" x14ac:dyDescent="0.25">
      <c r="B55" s="53" t="s">
        <v>54</v>
      </c>
      <c r="C55" s="15" t="s">
        <v>1001</v>
      </c>
      <c r="D55" s="15"/>
      <c r="E55" s="23"/>
      <c r="F55" s="323"/>
      <c r="G55" s="321"/>
      <c r="H55" s="18" t="str">
        <f t="shared" si="1"/>
        <v/>
      </c>
      <c r="I55" s="44"/>
    </row>
    <row r="56" spans="2:9" x14ac:dyDescent="0.25">
      <c r="B56" s="53"/>
      <c r="C56" s="15"/>
      <c r="D56" s="15"/>
      <c r="E56" s="23"/>
      <c r="F56" s="323"/>
      <c r="G56" s="321"/>
      <c r="H56" s="18" t="str">
        <f t="shared" si="1"/>
        <v/>
      </c>
      <c r="I56" s="52"/>
    </row>
    <row r="57" spans="2:9" x14ac:dyDescent="0.25">
      <c r="B57" s="53" t="s">
        <v>998</v>
      </c>
      <c r="C57" s="15" t="s">
        <v>1020</v>
      </c>
      <c r="D57" s="15"/>
      <c r="E57" s="23" t="s">
        <v>950</v>
      </c>
      <c r="F57" s="323">
        <v>60</v>
      </c>
      <c r="G57" s="321"/>
      <c r="H57" s="18">
        <f t="shared" si="1"/>
        <v>0</v>
      </c>
    </row>
    <row r="58" spans="2:9" x14ac:dyDescent="0.25">
      <c r="B58" s="53"/>
      <c r="C58" s="15"/>
      <c r="D58" s="15"/>
      <c r="E58" s="23"/>
      <c r="F58" s="323"/>
      <c r="G58" s="321"/>
      <c r="H58" s="18" t="str">
        <f t="shared" si="1"/>
        <v/>
      </c>
      <c r="I58" s="44"/>
    </row>
    <row r="59" spans="2:9" x14ac:dyDescent="0.25">
      <c r="B59" s="53" t="s">
        <v>999</v>
      </c>
      <c r="C59" s="15" t="s">
        <v>1002</v>
      </c>
      <c r="D59" s="15"/>
      <c r="E59" s="23" t="s">
        <v>950</v>
      </c>
      <c r="F59" s="323">
        <v>60</v>
      </c>
      <c r="G59" s="321"/>
      <c r="H59" s="18">
        <f t="shared" si="1"/>
        <v>0</v>
      </c>
      <c r="I59" s="44"/>
    </row>
    <row r="60" spans="2:9" ht="7.2" customHeight="1" x14ac:dyDescent="0.25">
      <c r="B60" s="53"/>
      <c r="C60" s="15"/>
      <c r="D60" s="15"/>
      <c r="E60" s="23"/>
      <c r="F60" s="323"/>
      <c r="G60" s="321"/>
      <c r="H60" s="18" t="str">
        <f t="shared" si="1"/>
        <v/>
      </c>
      <c r="I60" s="44"/>
    </row>
    <row r="61" spans="2:9" x14ac:dyDescent="0.25">
      <c r="B61" s="53"/>
      <c r="C61" s="325"/>
      <c r="D61" s="325"/>
      <c r="E61" s="320"/>
      <c r="F61" s="323"/>
      <c r="G61" s="321"/>
      <c r="H61" s="18"/>
      <c r="I61" s="44"/>
    </row>
    <row r="62" spans="2:9" ht="8.6999999999999993" customHeight="1" x14ac:dyDescent="0.25">
      <c r="B62" s="53"/>
      <c r="C62" s="325"/>
      <c r="D62" s="325"/>
      <c r="E62" s="320"/>
      <c r="F62" s="323"/>
      <c r="G62" s="321"/>
      <c r="H62" s="18"/>
      <c r="I62" s="44"/>
    </row>
    <row r="63" spans="2:9" x14ac:dyDescent="0.25">
      <c r="B63" s="53"/>
      <c r="C63" s="326"/>
      <c r="D63" s="326"/>
      <c r="E63" s="320"/>
      <c r="F63" s="323"/>
      <c r="G63" s="321"/>
      <c r="H63" s="18"/>
      <c r="I63" s="44"/>
    </row>
    <row r="64" spans="2:9" x14ac:dyDescent="0.25">
      <c r="B64" s="53"/>
      <c r="C64" s="325"/>
      <c r="D64" s="325"/>
      <c r="E64" s="320"/>
      <c r="F64" s="323"/>
      <c r="G64" s="321"/>
      <c r="H64" s="18"/>
      <c r="I64" s="44"/>
    </row>
    <row r="65" spans="2:9" x14ac:dyDescent="0.25">
      <c r="B65" s="53"/>
      <c r="C65" s="326"/>
      <c r="D65" s="326"/>
      <c r="E65" s="320"/>
      <c r="F65" s="323"/>
      <c r="G65" s="324"/>
      <c r="H65" s="18"/>
      <c r="I65" s="44"/>
    </row>
    <row r="66" spans="2:9" s="31" customFormat="1" ht="19.5" customHeight="1" x14ac:dyDescent="0.25">
      <c r="B66" s="151" t="str">
        <f>$B$11</f>
        <v>E</v>
      </c>
      <c r="C66" s="532" t="str">
        <f>"TOTAL CARRIED FORWARD"&amp;IF(H66=H$1," TO SUMMARY (Page C"&amp;Page_E&amp;")","")</f>
        <v>TOTAL CARRIED FORWARD TO SUMMARY (Page C60)</v>
      </c>
      <c r="D66" s="533"/>
      <c r="E66" s="533"/>
      <c r="F66" s="533"/>
      <c r="G66" s="534"/>
      <c r="H66" s="36">
        <f>SUM(H10:H65)</f>
        <v>3050000</v>
      </c>
      <c r="I66" s="37"/>
    </row>
  </sheetData>
  <mergeCells count="5">
    <mergeCell ref="C66:G66"/>
    <mergeCell ref="F2:H2"/>
    <mergeCell ref="B5:G5"/>
    <mergeCell ref="H5:H8"/>
    <mergeCell ref="B6:G8"/>
  </mergeCells>
  <pageMargins left="0.62992125984251968" right="0.43307086614173229" top="0.62992125984251968" bottom="0.55118110236220474" header="0.51181102362204722" footer="0.31496062992125984"/>
  <pageSetup paperSize="9" scale="76"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F218D-9866-4E08-9D35-8AFAB3EA6369}">
  <sheetPr>
    <tabColor theme="3" tint="0.59999389629810485"/>
  </sheetPr>
  <dimension ref="B1:N164"/>
  <sheetViews>
    <sheetView showGridLines="0" view="pageBreakPreview" zoomScaleNormal="100" zoomScaleSheetLayoutView="100" zoomScalePageLayoutView="150" workbookViewId="0">
      <selection activeCell="D114" sqref="D114"/>
    </sheetView>
  </sheetViews>
  <sheetFormatPr defaultColWidth="8.6640625" defaultRowHeight="13.2" x14ac:dyDescent="0.25"/>
  <cols>
    <col min="1" max="1" width="2" style="56" customWidth="1"/>
    <col min="2" max="2" width="8.44140625" style="59" customWidth="1"/>
    <col min="3" max="3" width="55.6640625" style="57" customWidth="1"/>
    <col min="4" max="4" width="6.5546875" style="57" customWidth="1"/>
    <col min="5" max="5" width="21.6640625" style="144" customWidth="1"/>
    <col min="6" max="6" width="1.44140625" style="56" customWidth="1"/>
    <col min="7" max="7" width="4.44140625" style="56" customWidth="1"/>
    <col min="8" max="8" width="9.5546875" style="56" customWidth="1"/>
    <col min="9" max="9" width="11.44140625" style="145" customWidth="1"/>
    <col min="10" max="10" width="11.5546875" style="56" bestFit="1" customWidth="1"/>
    <col min="11" max="11" width="8.6640625" style="56"/>
    <col min="12" max="12" width="15.44140625" style="56" customWidth="1"/>
    <col min="13" max="13" width="12.5546875" style="56" customWidth="1"/>
    <col min="14" max="14" width="9.44140625" style="56" customWidth="1"/>
    <col min="15" max="16384" width="8.6640625" style="56"/>
  </cols>
  <sheetData>
    <row r="1" spans="2:14" s="1" customFormat="1" ht="18" customHeight="1" x14ac:dyDescent="0.25">
      <c r="B1" s="2" t="str">
        <f>Client1</f>
        <v>Province of KwaZulu-Natal</v>
      </c>
      <c r="C1" s="3"/>
      <c r="D1" s="3"/>
      <c r="F1" s="6" t="str">
        <f>"Contract No. "&amp;ContractNo</f>
        <v>Contract No. ZNB02215/00000/00/HOD/INF/23/T</v>
      </c>
      <c r="H1" s="4"/>
      <c r="I1" s="238"/>
      <c r="M1" s="4"/>
    </row>
    <row r="2" spans="2:14" s="1" customFormat="1" ht="16.5" customHeight="1" x14ac:dyDescent="0.25">
      <c r="B2" s="96" t="str">
        <f>Client2</f>
        <v>Department of Transport</v>
      </c>
      <c r="C2" s="3"/>
      <c r="D2" s="3"/>
      <c r="E2" s="4"/>
      <c r="F2" s="4"/>
      <c r="G2" s="4"/>
      <c r="H2" s="4"/>
      <c r="I2" s="238"/>
      <c r="K2" s="5"/>
      <c r="L2" s="5"/>
      <c r="M2" s="4"/>
    </row>
    <row r="3" spans="2:14" s="1" customFormat="1" ht="13.5" customHeight="1" x14ac:dyDescent="0.25">
      <c r="B3" s="237"/>
      <c r="C3" s="3"/>
      <c r="D3" s="3"/>
      <c r="E3" s="4"/>
      <c r="F3" s="4"/>
      <c r="G3" s="4"/>
      <c r="H3" s="4"/>
      <c r="I3" s="238"/>
      <c r="K3" s="5"/>
      <c r="L3" s="5"/>
      <c r="M3" s="4"/>
    </row>
    <row r="4" spans="2:14" s="1" customFormat="1" ht="13.5" customHeight="1" x14ac:dyDescent="0.25">
      <c r="B4" s="237"/>
      <c r="C4" s="3"/>
      <c r="D4" s="3"/>
      <c r="E4" s="4"/>
      <c r="F4" s="4"/>
      <c r="G4" s="4"/>
      <c r="H4" s="4"/>
      <c r="I4" s="238"/>
      <c r="K4" s="5"/>
      <c r="L4" s="5"/>
      <c r="M4" s="4"/>
    </row>
    <row r="5" spans="2:14" ht="12.75" customHeight="1" x14ac:dyDescent="0.25">
      <c r="B5" s="360" t="s">
        <v>1591</v>
      </c>
      <c r="C5" s="13"/>
      <c r="D5" s="13"/>
      <c r="E5" s="13"/>
    </row>
    <row r="6" spans="2:14" ht="12.75" customHeight="1" x14ac:dyDescent="0.25">
      <c r="B6" s="9"/>
      <c r="C6" s="7"/>
      <c r="D6" s="7"/>
      <c r="E6" s="7"/>
    </row>
    <row r="7" spans="2:14" ht="12.75" customHeight="1" x14ac:dyDescent="0.25">
      <c r="B7" s="527" t="s">
        <v>1413</v>
      </c>
      <c r="C7" s="527"/>
      <c r="D7" s="527"/>
      <c r="E7" s="527"/>
    </row>
    <row r="8" spans="2:14" ht="12.75" customHeight="1" x14ac:dyDescent="0.25">
      <c r="B8" s="361"/>
      <c r="C8" s="361"/>
      <c r="D8" s="361"/>
      <c r="E8" s="361"/>
    </row>
    <row r="9" spans="2:14" ht="25.5" customHeight="1" x14ac:dyDescent="0.25">
      <c r="B9" s="526" t="str">
        <f>ContractDescription</f>
        <v>UPGRADING OF MAIN ROAD P8/3 FROM GRAVEL TO BLACKTOP BETWEEN KM 17.560 AND KM 24.221 IN THE PIETERMARITZBURG REGION</v>
      </c>
      <c r="C9" s="526"/>
      <c r="D9" s="526"/>
      <c r="E9" s="526"/>
      <c r="F9" s="59"/>
      <c r="G9" s="100"/>
      <c r="H9" s="59"/>
    </row>
    <row r="10" spans="2:14" ht="5.25" customHeight="1" thickBot="1" x14ac:dyDescent="0.3">
      <c r="B10" s="528"/>
      <c r="C10" s="528"/>
      <c r="D10" s="528"/>
      <c r="E10" s="528"/>
    </row>
    <row r="11" spans="2:14" s="13" customFormat="1" ht="25.2" customHeight="1" thickBot="1" x14ac:dyDescent="0.3">
      <c r="B11" s="243" t="s">
        <v>970</v>
      </c>
      <c r="C11" s="244" t="s">
        <v>1</v>
      </c>
      <c r="D11" s="362" t="s">
        <v>951</v>
      </c>
      <c r="E11" s="245" t="s">
        <v>5</v>
      </c>
      <c r="I11" s="249"/>
    </row>
    <row r="12" spans="2:14" ht="21" customHeight="1" x14ac:dyDescent="0.25">
      <c r="B12" s="359" t="s">
        <v>1021</v>
      </c>
      <c r="C12" s="363" t="str">
        <f>'Chapter E'!C11</f>
        <v>EXPANDED PUBLIC WORKS PROGRAMME (EPWP)</v>
      </c>
      <c r="D12" s="368"/>
      <c r="E12" s="364">
        <f>'Chapter E'!H1</f>
        <v>3050000</v>
      </c>
      <c r="H12" s="13"/>
      <c r="I12" s="257"/>
    </row>
    <row r="13" spans="2:14" ht="9" customHeight="1" thickBot="1" x14ac:dyDescent="0.3">
      <c r="B13" s="282"/>
      <c r="C13" s="283"/>
      <c r="D13" s="369"/>
      <c r="E13" s="314"/>
      <c r="H13" s="13"/>
      <c r="I13" s="257"/>
    </row>
    <row r="14" spans="2:14" ht="23.7" customHeight="1" thickBot="1" x14ac:dyDescent="0.3">
      <c r="B14" s="365" t="str">
        <f>"TOTAL CARRIED FORWARD TO SUMMARY (Page C"&amp;_Summary&amp;")"</f>
        <v>TOTAL CARRIED FORWARD TO SUMMARY (Page C64)</v>
      </c>
      <c r="C14" s="366"/>
      <c r="D14" s="367"/>
      <c r="E14" s="345">
        <f>SUM(E12:E13)</f>
        <v>3050000</v>
      </c>
      <c r="N14" s="56">
        <f>31+26</f>
        <v>57</v>
      </c>
    </row>
    <row r="15" spans="2:14" x14ac:dyDescent="0.25">
      <c r="E15" s="303"/>
      <c r="G15" s="370"/>
    </row>
    <row r="66" spans="2:8" x14ac:dyDescent="0.25">
      <c r="B66" s="10"/>
      <c r="C66" s="10"/>
      <c r="D66" s="10"/>
      <c r="E66" s="10"/>
      <c r="F66" s="59"/>
      <c r="G66" s="59"/>
      <c r="H66" s="59"/>
    </row>
    <row r="164" spans="2:8" x14ac:dyDescent="0.25">
      <c r="B164" s="10"/>
      <c r="C164" s="10"/>
      <c r="D164" s="10"/>
      <c r="E164" s="10"/>
      <c r="F164" s="59"/>
      <c r="G164" s="59"/>
      <c r="H164" s="59"/>
    </row>
  </sheetData>
  <mergeCells count="3">
    <mergeCell ref="B7:E7"/>
    <mergeCell ref="B10:E10"/>
    <mergeCell ref="B9:E9"/>
  </mergeCells>
  <pageMargins left="0.62992125984251968" right="0.43307086614173229" top="0.62992125984251968" bottom="0.55118110236220474" header="0.51181102362204722" footer="0.31496062992125984"/>
  <pageSetup paperSize="9" scale="85"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3926F-051D-4273-B893-24395EC5E300}">
  <dimension ref="B1:N120"/>
  <sheetViews>
    <sheetView view="pageBreakPreview" topLeftCell="A16" zoomScaleNormal="125" zoomScaleSheetLayoutView="100" zoomScalePageLayoutView="125" workbookViewId="0">
      <selection activeCell="F19" sqref="F19"/>
    </sheetView>
  </sheetViews>
  <sheetFormatPr defaultColWidth="6.6640625" defaultRowHeight="13.2" x14ac:dyDescent="0.25"/>
  <cols>
    <col min="1" max="1" width="0.6640625" style="1" customWidth="1"/>
    <col min="2" max="2" width="11.5546875" style="38" customWidth="1"/>
    <col min="3" max="3" width="45.5546875" style="3" customWidth="1"/>
    <col min="4" max="4" width="4.33203125" style="3" customWidth="1"/>
    <col min="5" max="5" width="13.5546875" style="4" customWidth="1"/>
    <col min="6" max="6" width="15.5546875" style="4" customWidth="1"/>
    <col min="7" max="7" width="14" style="1" customWidth="1"/>
    <col min="8" max="8" width="15.5546875" style="5" customWidth="1"/>
    <col min="9" max="9" width="0.6640625" style="5" customWidth="1"/>
    <col min="10" max="10" width="6.6640625" style="1"/>
    <col min="11" max="11" width="12.44140625" style="1" bestFit="1" customWidth="1"/>
    <col min="12" max="12" width="6.6640625" style="1"/>
    <col min="13" max="13" width="11.6640625" style="1" bestFit="1" customWidth="1"/>
    <col min="14" max="14" width="13.33203125" style="1" bestFit="1" customWidth="1"/>
    <col min="15" max="16384" width="6.6640625" style="1"/>
  </cols>
  <sheetData>
    <row r="1" spans="2:9" x14ac:dyDescent="0.25">
      <c r="H1" s="5">
        <f>MAX(H9:H493)</f>
        <v>30099061</v>
      </c>
    </row>
    <row r="2" spans="2:9" x14ac:dyDescent="0.25">
      <c r="B2" s="2" t="str">
        <f>Client1</f>
        <v>Province of KwaZulu-Natal</v>
      </c>
      <c r="F2" s="510" t="str">
        <f>"Contract No. "&amp;ContractNo</f>
        <v>Contract No. ZNB02215/00000/00/HOD/INF/23/T</v>
      </c>
      <c r="G2" s="510"/>
      <c r="H2" s="510"/>
    </row>
    <row r="3" spans="2:9" x14ac:dyDescent="0.25">
      <c r="B3" s="96" t="str">
        <f>Client2</f>
        <v>Department of Transport</v>
      </c>
    </row>
    <row r="4" spans="2:9" x14ac:dyDescent="0.25">
      <c r="B4" s="84"/>
      <c r="C4" s="84"/>
      <c r="D4" s="84"/>
      <c r="E4" s="85"/>
      <c r="F4" s="85"/>
      <c r="G4" s="86"/>
      <c r="H4" s="98"/>
    </row>
    <row r="5" spans="2:9" x14ac:dyDescent="0.25">
      <c r="B5" s="507" t="s">
        <v>1049</v>
      </c>
      <c r="C5" s="508"/>
      <c r="D5" s="508"/>
      <c r="E5" s="508"/>
      <c r="F5" s="508"/>
      <c r="G5" s="508"/>
      <c r="H5" s="538" t="str">
        <f>"CHAPTER "&amp;B11</f>
        <v>CHAPTER F</v>
      </c>
      <c r="I5" s="6"/>
    </row>
    <row r="6" spans="2:9" ht="7.5" customHeight="1" x14ac:dyDescent="0.25">
      <c r="B6" s="500" t="str">
        <f>ContractDescription</f>
        <v>UPGRADING OF MAIN ROAD P8/3 FROM GRAVEL TO BLACKTOP BETWEEN KM 17.560 AND KM 24.221 IN THE PIETERMARITZBURG REGION</v>
      </c>
      <c r="C6" s="501"/>
      <c r="D6" s="501"/>
      <c r="E6" s="501"/>
      <c r="F6" s="501"/>
      <c r="G6" s="501"/>
      <c r="H6" s="539"/>
      <c r="I6" s="9"/>
    </row>
    <row r="7" spans="2:9" ht="12.75" customHeight="1" x14ac:dyDescent="0.25">
      <c r="B7" s="500"/>
      <c r="C7" s="501"/>
      <c r="D7" s="501"/>
      <c r="E7" s="501"/>
      <c r="F7" s="501"/>
      <c r="G7" s="501"/>
      <c r="H7" s="539"/>
      <c r="I7" s="9"/>
    </row>
    <row r="8" spans="2:9" ht="7.5" customHeight="1" x14ac:dyDescent="0.25">
      <c r="B8" s="502"/>
      <c r="C8" s="503"/>
      <c r="D8" s="503"/>
      <c r="E8" s="503"/>
      <c r="F8" s="503"/>
      <c r="G8" s="503"/>
      <c r="H8" s="540"/>
      <c r="I8" s="9"/>
    </row>
    <row r="9" spans="2:9" s="10" customFormat="1" ht="25.2" customHeight="1" x14ac:dyDescent="0.25">
      <c r="B9" s="11" t="s">
        <v>0</v>
      </c>
      <c r="C9" s="12" t="s">
        <v>1</v>
      </c>
      <c r="D9" s="12" t="s">
        <v>1602</v>
      </c>
      <c r="E9" s="12" t="s">
        <v>2</v>
      </c>
      <c r="F9" s="12" t="s">
        <v>3</v>
      </c>
      <c r="G9" s="12" t="s">
        <v>4</v>
      </c>
      <c r="H9" s="12" t="s">
        <v>5</v>
      </c>
      <c r="I9" s="13"/>
    </row>
    <row r="10" spans="2:9" x14ac:dyDescent="0.25">
      <c r="B10" s="14"/>
      <c r="C10" s="15"/>
      <c r="D10" s="15"/>
      <c r="E10" s="16"/>
      <c r="F10" s="16"/>
      <c r="G10" s="17"/>
      <c r="H10" s="18" t="str">
        <f t="shared" ref="H10:H48" si="0">IF(E10="","",F10*G10)</f>
        <v/>
      </c>
      <c r="I10" s="19"/>
    </row>
    <row r="11" spans="2:9" x14ac:dyDescent="0.25">
      <c r="B11" s="80" t="s">
        <v>1013</v>
      </c>
      <c r="C11" s="21" t="s">
        <v>1031</v>
      </c>
      <c r="D11" s="21"/>
      <c r="E11" s="23"/>
      <c r="F11" s="23"/>
      <c r="G11" s="43"/>
      <c r="H11" s="18" t="str">
        <f t="shared" si="0"/>
        <v/>
      </c>
      <c r="I11" s="44"/>
    </row>
    <row r="12" spans="2:9" x14ac:dyDescent="0.25">
      <c r="B12" s="53"/>
      <c r="C12" s="15"/>
      <c r="D12" s="15"/>
      <c r="E12" s="23"/>
      <c r="F12" s="23"/>
      <c r="G12" s="43"/>
      <c r="H12" s="18" t="str">
        <f t="shared" si="0"/>
        <v/>
      </c>
      <c r="I12" s="44"/>
    </row>
    <row r="13" spans="2:9" x14ac:dyDescent="0.25">
      <c r="B13" s="53" t="s">
        <v>1040</v>
      </c>
      <c r="C13" s="15" t="s">
        <v>1032</v>
      </c>
      <c r="D13" s="15"/>
      <c r="E13" s="23"/>
      <c r="F13" s="23"/>
      <c r="G13" s="43"/>
      <c r="H13" s="18" t="str">
        <f t="shared" si="0"/>
        <v/>
      </c>
      <c r="I13" s="44"/>
    </row>
    <row r="14" spans="2:9" x14ac:dyDescent="0.25">
      <c r="B14" s="80"/>
      <c r="C14" s="15"/>
      <c r="D14" s="15"/>
      <c r="E14" s="23"/>
      <c r="F14" s="23"/>
      <c r="G14" s="43"/>
      <c r="H14" s="18" t="str">
        <f t="shared" si="0"/>
        <v/>
      </c>
      <c r="I14" s="44"/>
    </row>
    <row r="15" spans="2:9" ht="26.4" x14ac:dyDescent="0.25">
      <c r="B15" s="53" t="s">
        <v>49</v>
      </c>
      <c r="C15" s="15" t="s">
        <v>1033</v>
      </c>
      <c r="D15" s="15"/>
      <c r="E15" s="23"/>
      <c r="F15" s="24"/>
      <c r="G15" s="25"/>
      <c r="H15" s="18" t="str">
        <f t="shared" si="0"/>
        <v/>
      </c>
      <c r="I15" s="45"/>
    </row>
    <row r="16" spans="2:9" x14ac:dyDescent="0.25">
      <c r="B16" s="80"/>
      <c r="C16" s="15"/>
      <c r="D16" s="15"/>
      <c r="E16" s="23"/>
      <c r="F16" s="24"/>
      <c r="G16" s="25"/>
      <c r="H16" s="18" t="str">
        <f t="shared" si="0"/>
        <v/>
      </c>
      <c r="I16" s="45"/>
    </row>
    <row r="17" spans="2:14" ht="52.8" x14ac:dyDescent="0.25">
      <c r="B17" s="53" t="s">
        <v>233</v>
      </c>
      <c r="C17" s="15" t="s">
        <v>1034</v>
      </c>
      <c r="D17" s="15"/>
      <c r="E17" s="23" t="s">
        <v>44</v>
      </c>
      <c r="F17" s="24">
        <f>CPG!M60</f>
        <v>8</v>
      </c>
      <c r="G17" s="43"/>
      <c r="H17" s="26">
        <f t="shared" si="0"/>
        <v>0</v>
      </c>
      <c r="I17" s="44"/>
    </row>
    <row r="18" spans="2:14" x14ac:dyDescent="0.25">
      <c r="B18" s="53"/>
      <c r="C18" s="15"/>
      <c r="D18" s="15"/>
      <c r="E18" s="23"/>
      <c r="F18" s="24"/>
      <c r="G18" s="46"/>
      <c r="H18" s="26" t="str">
        <f t="shared" si="0"/>
        <v/>
      </c>
      <c r="I18" s="44"/>
    </row>
    <row r="19" spans="2:14" ht="52.8" x14ac:dyDescent="0.25">
      <c r="B19" s="53" t="s">
        <v>235</v>
      </c>
      <c r="C19" s="162" t="s">
        <v>1035</v>
      </c>
      <c r="D19" s="15"/>
      <c r="E19" s="23" t="s">
        <v>44</v>
      </c>
      <c r="F19" s="24">
        <f>CPG!N60</f>
        <v>10</v>
      </c>
      <c r="G19" s="48"/>
      <c r="H19" s="26">
        <f t="shared" si="0"/>
        <v>0</v>
      </c>
    </row>
    <row r="20" spans="2:14" x14ac:dyDescent="0.25">
      <c r="B20" s="53"/>
      <c r="C20" s="1"/>
      <c r="D20" s="48"/>
      <c r="E20" s="23"/>
      <c r="F20" s="24"/>
      <c r="G20" s="48"/>
      <c r="H20" s="26" t="str">
        <f t="shared" si="0"/>
        <v/>
      </c>
    </row>
    <row r="21" spans="2:14" ht="52.8" x14ac:dyDescent="0.25">
      <c r="B21" s="53" t="s">
        <v>365</v>
      </c>
      <c r="C21" s="162" t="s">
        <v>1036</v>
      </c>
      <c r="D21" s="15"/>
      <c r="E21" s="23" t="s">
        <v>44</v>
      </c>
      <c r="F21" s="24">
        <f>CPG!O60</f>
        <v>4</v>
      </c>
      <c r="G21" s="41"/>
      <c r="H21" s="26">
        <f t="shared" si="0"/>
        <v>0</v>
      </c>
    </row>
    <row r="22" spans="2:14" x14ac:dyDescent="0.25">
      <c r="B22" s="53"/>
      <c r="C22" s="162"/>
      <c r="D22" s="15"/>
      <c r="E22" s="23"/>
      <c r="F22" s="24"/>
      <c r="G22" s="48"/>
      <c r="H22" s="26" t="str">
        <f t="shared" si="0"/>
        <v/>
      </c>
    </row>
    <row r="23" spans="2:14" ht="52.8" x14ac:dyDescent="0.25">
      <c r="B23" s="53" t="s">
        <v>1003</v>
      </c>
      <c r="C23" s="162" t="s">
        <v>1037</v>
      </c>
      <c r="D23" s="15"/>
      <c r="E23" s="23" t="s">
        <v>44</v>
      </c>
      <c r="F23" s="24">
        <f>CPG!P60</f>
        <v>1</v>
      </c>
      <c r="G23" s="41"/>
      <c r="H23" s="26">
        <f t="shared" si="0"/>
        <v>0</v>
      </c>
    </row>
    <row r="24" spans="2:14" x14ac:dyDescent="0.25">
      <c r="B24" s="53"/>
      <c r="C24" s="162"/>
      <c r="D24" s="15"/>
      <c r="E24" s="23"/>
      <c r="F24" s="24"/>
      <c r="G24" s="41"/>
      <c r="H24" s="26" t="str">
        <f t="shared" si="0"/>
        <v/>
      </c>
    </row>
    <row r="25" spans="2:14" ht="52.8" x14ac:dyDescent="0.25">
      <c r="B25" s="53" t="s">
        <v>1004</v>
      </c>
      <c r="C25" s="162" t="s">
        <v>1038</v>
      </c>
      <c r="D25" s="15"/>
      <c r="E25" s="23" t="s">
        <v>44</v>
      </c>
      <c r="F25" s="24">
        <f>CPG!Q60</f>
        <v>1</v>
      </c>
      <c r="G25" s="41"/>
      <c r="H25" s="26">
        <f t="shared" si="0"/>
        <v>0</v>
      </c>
      <c r="I25" s="45"/>
    </row>
    <row r="26" spans="2:14" x14ac:dyDescent="0.25">
      <c r="B26" s="53"/>
      <c r="C26" s="162"/>
      <c r="D26" s="15"/>
      <c r="E26" s="23"/>
      <c r="F26" s="24"/>
      <c r="G26" s="41"/>
      <c r="H26" s="26" t="str">
        <f t="shared" si="0"/>
        <v/>
      </c>
      <c r="I26" s="19"/>
    </row>
    <row r="27" spans="2:14" s="39" customFormat="1" ht="52.8" x14ac:dyDescent="0.25">
      <c r="B27" s="53" t="s">
        <v>1005</v>
      </c>
      <c r="C27" s="162" t="s">
        <v>1039</v>
      </c>
      <c r="D27" s="15"/>
      <c r="E27" s="23" t="s">
        <v>44</v>
      </c>
      <c r="F27" s="24">
        <f>CPG!R60</f>
        <v>0</v>
      </c>
      <c r="G27" s="41"/>
      <c r="H27" s="26">
        <f t="shared" si="0"/>
        <v>0</v>
      </c>
      <c r="I27" s="19"/>
    </row>
    <row r="28" spans="2:14" x14ac:dyDescent="0.25">
      <c r="B28" s="53"/>
      <c r="C28" s="162"/>
      <c r="D28" s="15"/>
      <c r="E28" s="23"/>
      <c r="F28" s="24"/>
      <c r="G28" s="41"/>
      <c r="H28" s="26" t="str">
        <f t="shared" si="0"/>
        <v/>
      </c>
      <c r="I28" s="45"/>
    </row>
    <row r="29" spans="2:14" ht="26.4" x14ac:dyDescent="0.25">
      <c r="B29" s="53" t="s">
        <v>1041</v>
      </c>
      <c r="C29" s="162" t="s">
        <v>1042</v>
      </c>
      <c r="D29" s="15"/>
      <c r="E29" s="23"/>
      <c r="F29" s="24"/>
      <c r="G29" s="41"/>
      <c r="H29" s="26" t="str">
        <f t="shared" si="0"/>
        <v/>
      </c>
      <c r="I29" s="45"/>
    </row>
    <row r="30" spans="2:14" x14ac:dyDescent="0.25">
      <c r="B30" s="53"/>
      <c r="C30" s="162"/>
      <c r="D30" s="15"/>
      <c r="E30" s="23"/>
      <c r="F30" s="24"/>
      <c r="G30" s="41"/>
      <c r="H30" s="26" t="str">
        <f t="shared" si="0"/>
        <v/>
      </c>
      <c r="I30" s="44"/>
    </row>
    <row r="31" spans="2:14" ht="26.4" x14ac:dyDescent="0.25">
      <c r="B31" s="53" t="s">
        <v>49</v>
      </c>
      <c r="C31" s="162" t="s">
        <v>1043</v>
      </c>
      <c r="D31" s="15"/>
      <c r="E31" s="23" t="s">
        <v>648</v>
      </c>
      <c r="F31" s="472">
        <v>27696357.949999999</v>
      </c>
      <c r="G31" s="41">
        <v>1</v>
      </c>
      <c r="H31" s="26">
        <f t="shared" si="0"/>
        <v>27696357.949999999</v>
      </c>
      <c r="I31" s="44"/>
      <c r="K31" s="475"/>
      <c r="N31" s="475"/>
    </row>
    <row r="32" spans="2:14" x14ac:dyDescent="0.25">
      <c r="B32" s="53"/>
      <c r="C32" s="162"/>
      <c r="D32" s="15"/>
      <c r="E32" s="23"/>
      <c r="F32" s="472"/>
      <c r="G32" s="46"/>
      <c r="H32" s="26" t="str">
        <f t="shared" si="0"/>
        <v/>
      </c>
      <c r="I32" s="44"/>
    </row>
    <row r="33" spans="2:9" ht="26.4" x14ac:dyDescent="0.25">
      <c r="B33" s="53" t="s">
        <v>51</v>
      </c>
      <c r="C33" s="172" t="s">
        <v>1044</v>
      </c>
      <c r="D33" s="487"/>
      <c r="E33" s="23" t="s">
        <v>36</v>
      </c>
      <c r="F33" s="472">
        <v>27696357.949999999</v>
      </c>
      <c r="G33" s="46"/>
      <c r="H33" s="26">
        <f t="shared" si="0"/>
        <v>0</v>
      </c>
      <c r="I33" s="44"/>
    </row>
    <row r="34" spans="2:9" x14ac:dyDescent="0.25">
      <c r="B34" s="53"/>
      <c r="C34" s="162"/>
      <c r="D34" s="15"/>
      <c r="E34" s="23"/>
      <c r="F34" s="473"/>
      <c r="G34" s="43"/>
      <c r="H34" s="26" t="str">
        <f t="shared" si="0"/>
        <v/>
      </c>
      <c r="I34" s="44"/>
    </row>
    <row r="35" spans="2:9" ht="26.4" x14ac:dyDescent="0.25">
      <c r="B35" s="53" t="s">
        <v>65</v>
      </c>
      <c r="C35" s="172" t="s">
        <v>1045</v>
      </c>
      <c r="D35" s="487"/>
      <c r="E35" s="23" t="s">
        <v>648</v>
      </c>
      <c r="F35" s="473">
        <v>1457703.05</v>
      </c>
      <c r="G35" s="43">
        <v>1</v>
      </c>
      <c r="H35" s="26">
        <f t="shared" si="0"/>
        <v>1457703.05</v>
      </c>
      <c r="I35" s="44"/>
    </row>
    <row r="36" spans="2:9" x14ac:dyDescent="0.25">
      <c r="B36" s="53"/>
      <c r="C36" s="162"/>
      <c r="D36" s="15"/>
      <c r="E36" s="23"/>
      <c r="F36" s="473"/>
      <c r="G36" s="41"/>
      <c r="H36" s="26" t="str">
        <f t="shared" si="0"/>
        <v/>
      </c>
      <c r="I36" s="44"/>
    </row>
    <row r="37" spans="2:9" ht="26.4" x14ac:dyDescent="0.25">
      <c r="B37" s="53" t="s">
        <v>53</v>
      </c>
      <c r="C37" s="162" t="s">
        <v>1046</v>
      </c>
      <c r="D37" s="15"/>
      <c r="E37" s="23" t="s">
        <v>36</v>
      </c>
      <c r="F37" s="472">
        <v>1457703.05</v>
      </c>
      <c r="G37" s="46"/>
      <c r="H37" s="26">
        <f t="shared" si="0"/>
        <v>0</v>
      </c>
      <c r="I37" s="44"/>
    </row>
    <row r="38" spans="2:9" x14ac:dyDescent="0.25">
      <c r="B38" s="53"/>
      <c r="C38" s="162"/>
      <c r="D38" s="15"/>
      <c r="E38" s="23"/>
      <c r="F38" s="23"/>
      <c r="G38" s="41"/>
      <c r="H38" s="26" t="str">
        <f t="shared" si="0"/>
        <v/>
      </c>
      <c r="I38" s="44"/>
    </row>
    <row r="39" spans="2:9" ht="26.4" x14ac:dyDescent="0.25">
      <c r="B39" s="53" t="s">
        <v>54</v>
      </c>
      <c r="C39" s="172" t="s">
        <v>1047</v>
      </c>
      <c r="D39" s="487"/>
      <c r="E39" s="23"/>
      <c r="F39" s="473"/>
      <c r="G39" s="41"/>
      <c r="H39" s="26" t="str">
        <f t="shared" si="0"/>
        <v/>
      </c>
      <c r="I39" s="44"/>
    </row>
    <row r="40" spans="2:9" x14ac:dyDescent="0.25">
      <c r="B40" s="53"/>
      <c r="C40" s="172"/>
      <c r="D40" s="487"/>
      <c r="E40" s="23"/>
      <c r="F40" s="473"/>
      <c r="G40" s="41"/>
      <c r="H40" s="26" t="str">
        <f t="shared" si="0"/>
        <v/>
      </c>
      <c r="I40" s="44"/>
    </row>
    <row r="41" spans="2:9" ht="26.4" x14ac:dyDescent="0.25">
      <c r="B41" s="53"/>
      <c r="C41" s="172" t="s">
        <v>1592</v>
      </c>
      <c r="D41" s="487"/>
      <c r="E41" s="23" t="s">
        <v>1501</v>
      </c>
      <c r="F41" s="473">
        <v>24</v>
      </c>
      <c r="G41" s="41"/>
      <c r="H41" s="26">
        <f t="shared" si="0"/>
        <v>0</v>
      </c>
      <c r="I41" s="44"/>
    </row>
    <row r="42" spans="2:9" x14ac:dyDescent="0.25">
      <c r="B42" s="53"/>
      <c r="C42" s="172"/>
      <c r="D42" s="487"/>
      <c r="E42" s="23"/>
      <c r="F42" s="473"/>
      <c r="G42" s="41"/>
      <c r="H42" s="26" t="str">
        <f t="shared" si="0"/>
        <v/>
      </c>
      <c r="I42" s="44"/>
    </row>
    <row r="43" spans="2:9" ht="26.4" x14ac:dyDescent="0.25">
      <c r="B43" s="53"/>
      <c r="C43" s="172" t="s">
        <v>1593</v>
      </c>
      <c r="D43" s="487"/>
      <c r="E43" s="23" t="s">
        <v>1594</v>
      </c>
      <c r="F43" s="473">
        <v>6</v>
      </c>
      <c r="G43" s="41"/>
      <c r="H43" s="26">
        <f t="shared" si="0"/>
        <v>0</v>
      </c>
      <c r="I43" s="44"/>
    </row>
    <row r="44" spans="2:9" x14ac:dyDescent="0.25">
      <c r="B44" s="53"/>
      <c r="C44" s="172"/>
      <c r="D44" s="487"/>
      <c r="E44" s="23"/>
      <c r="F44" s="473"/>
      <c r="G44" s="41"/>
      <c r="H44" s="26" t="str">
        <f t="shared" si="0"/>
        <v/>
      </c>
      <c r="I44" s="44"/>
    </row>
    <row r="45" spans="2:9" x14ac:dyDescent="0.25">
      <c r="B45" s="53"/>
      <c r="C45" s="172" t="s">
        <v>1595</v>
      </c>
      <c r="D45" s="487"/>
      <c r="E45" s="23" t="s">
        <v>1501</v>
      </c>
      <c r="F45" s="473">
        <v>24</v>
      </c>
      <c r="G45" s="41"/>
      <c r="H45" s="26">
        <f t="shared" si="0"/>
        <v>0</v>
      </c>
      <c r="I45" s="44"/>
    </row>
    <row r="46" spans="2:9" x14ac:dyDescent="0.25">
      <c r="B46" s="53"/>
      <c r="C46" s="172"/>
      <c r="D46" s="487"/>
      <c r="E46" s="23"/>
      <c r="F46" s="473"/>
      <c r="G46" s="41"/>
      <c r="H46" s="26" t="str">
        <f t="shared" si="0"/>
        <v/>
      </c>
      <c r="I46" s="44"/>
    </row>
    <row r="47" spans="2:9" x14ac:dyDescent="0.25">
      <c r="B47" s="53"/>
      <c r="C47" s="172" t="s">
        <v>1596</v>
      </c>
      <c r="D47" s="487"/>
      <c r="E47" s="23" t="s">
        <v>1597</v>
      </c>
      <c r="F47" s="473">
        <v>100</v>
      </c>
      <c r="G47" s="41"/>
      <c r="H47" s="26">
        <f t="shared" si="0"/>
        <v>0</v>
      </c>
      <c r="I47" s="44"/>
    </row>
    <row r="48" spans="2:9" x14ac:dyDescent="0.25">
      <c r="B48" s="53"/>
      <c r="C48" s="172"/>
      <c r="D48" s="487"/>
      <c r="E48" s="23"/>
      <c r="F48" s="473"/>
      <c r="G48" s="41"/>
      <c r="H48" s="26" t="str">
        <f t="shared" si="0"/>
        <v/>
      </c>
      <c r="I48" s="44"/>
    </row>
    <row r="49" spans="2:9" x14ac:dyDescent="0.25">
      <c r="B49" s="53"/>
      <c r="C49" s="15"/>
      <c r="D49" s="15"/>
      <c r="E49" s="23"/>
      <c r="F49" s="23"/>
      <c r="G49" s="41"/>
      <c r="H49" s="18"/>
      <c r="I49" s="44"/>
    </row>
    <row r="50" spans="2:9" s="31" customFormat="1" ht="19.5" customHeight="1" x14ac:dyDescent="0.25">
      <c r="B50" s="151" t="str">
        <f>$B$11</f>
        <v>F</v>
      </c>
      <c r="C50" s="33" t="s">
        <v>12</v>
      </c>
      <c r="D50" s="33"/>
      <c r="E50" s="34"/>
      <c r="F50" s="35"/>
      <c r="G50" s="34"/>
      <c r="H50" s="36">
        <f>SUM(H10:H49)</f>
        <v>29154061</v>
      </c>
      <c r="I50" s="37"/>
    </row>
    <row r="51" spans="2:9" x14ac:dyDescent="0.25">
      <c r="B51" s="498" t="str">
        <f>Client1</f>
        <v>Province of KwaZulu-Natal</v>
      </c>
      <c r="C51" s="498"/>
      <c r="D51" s="498"/>
      <c r="E51" s="498"/>
      <c r="F51" s="496" t="str">
        <f>"Contract No. "&amp;ContractNo</f>
        <v>Contract No. ZNB02215/00000/00/HOD/INF/23/T</v>
      </c>
      <c r="G51" s="496"/>
      <c r="H51" s="496"/>
    </row>
    <row r="52" spans="2:9" x14ac:dyDescent="0.25">
      <c r="B52" s="498" t="str">
        <f>Client2</f>
        <v>Department of Transport</v>
      </c>
      <c r="C52" s="498"/>
      <c r="D52" s="498"/>
      <c r="E52" s="498"/>
      <c r="F52" s="496"/>
      <c r="G52" s="496"/>
      <c r="H52" s="496"/>
    </row>
    <row r="53" spans="2:9" x14ac:dyDescent="0.25">
      <c r="B53" s="499"/>
      <c r="C53" s="499"/>
      <c r="D53" s="499"/>
      <c r="E53" s="499"/>
      <c r="F53" s="497"/>
      <c r="G53" s="497"/>
      <c r="H53" s="497"/>
    </row>
    <row r="54" spans="2:9" x14ac:dyDescent="0.25">
      <c r="B54" s="507" t="str">
        <f>B5</f>
        <v>SCHEDULE F: SMALL CONTRACTOR DEVELOPMENT</v>
      </c>
      <c r="C54" s="508"/>
      <c r="D54" s="508"/>
      <c r="E54" s="508"/>
      <c r="F54" s="508"/>
      <c r="G54" s="508"/>
      <c r="H54" s="509" t="str">
        <f>$H$5</f>
        <v>CHAPTER F</v>
      </c>
      <c r="I54" s="6"/>
    </row>
    <row r="55" spans="2:9" ht="7.2" customHeight="1" x14ac:dyDescent="0.25">
      <c r="B55" s="500" t="str">
        <f>ContractDescription</f>
        <v>UPGRADING OF MAIN ROAD P8/3 FROM GRAVEL TO BLACKTOP BETWEEN KM 17.560 AND KM 24.221 IN THE PIETERMARITZBURG REGION</v>
      </c>
      <c r="C55" s="501"/>
      <c r="D55" s="501"/>
      <c r="E55" s="501"/>
      <c r="F55" s="501"/>
      <c r="G55" s="501"/>
      <c r="H55" s="496"/>
      <c r="I55" s="9"/>
    </row>
    <row r="56" spans="2:9" x14ac:dyDescent="0.25">
      <c r="B56" s="500"/>
      <c r="C56" s="501"/>
      <c r="D56" s="501"/>
      <c r="E56" s="501"/>
      <c r="F56" s="501"/>
      <c r="G56" s="501"/>
      <c r="H56" s="496"/>
      <c r="I56" s="9"/>
    </row>
    <row r="57" spans="2:9" ht="8.6999999999999993" customHeight="1" x14ac:dyDescent="0.25">
      <c r="B57" s="502"/>
      <c r="C57" s="503"/>
      <c r="D57" s="503"/>
      <c r="E57" s="503"/>
      <c r="F57" s="503"/>
      <c r="G57" s="503"/>
      <c r="H57" s="497"/>
      <c r="I57" s="9"/>
    </row>
    <row r="58" spans="2:9" s="10" customFormat="1" ht="25.2" customHeight="1" x14ac:dyDescent="0.25">
      <c r="B58" s="81" t="s">
        <v>0</v>
      </c>
      <c r="C58" s="12" t="s">
        <v>1</v>
      </c>
      <c r="D58" s="12" t="s">
        <v>1602</v>
      </c>
      <c r="E58" s="12" t="s">
        <v>2</v>
      </c>
      <c r="F58" s="12" t="s">
        <v>3</v>
      </c>
      <c r="G58" s="12" t="s">
        <v>4</v>
      </c>
      <c r="H58" s="12" t="s">
        <v>5</v>
      </c>
      <c r="I58" s="13"/>
    </row>
    <row r="59" spans="2:9" s="31" customFormat="1" ht="19.5" customHeight="1" x14ac:dyDescent="0.25">
      <c r="B59" s="87"/>
      <c r="C59" s="33" t="s">
        <v>37</v>
      </c>
      <c r="D59" s="33"/>
      <c r="E59" s="34"/>
      <c r="F59" s="35"/>
      <c r="G59" s="34"/>
      <c r="H59" s="36">
        <f>H50</f>
        <v>29154061</v>
      </c>
      <c r="I59" s="37"/>
    </row>
    <row r="60" spans="2:9" x14ac:dyDescent="0.25">
      <c r="B60" s="53"/>
      <c r="C60" s="15"/>
      <c r="D60" s="15"/>
      <c r="E60" s="23"/>
      <c r="F60" s="23"/>
      <c r="G60" s="41"/>
      <c r="H60" s="18" t="str">
        <f t="shared" ref="H60:H83" si="1">IF(E60="","",F60*G60)</f>
        <v/>
      </c>
      <c r="I60" s="44"/>
    </row>
    <row r="61" spans="2:9" x14ac:dyDescent="0.25">
      <c r="B61" s="53" t="s">
        <v>49</v>
      </c>
      <c r="C61" s="15" t="s">
        <v>992</v>
      </c>
      <c r="D61" s="15"/>
      <c r="E61" s="23"/>
      <c r="F61" s="23"/>
      <c r="G61" s="41"/>
      <c r="H61" s="18" t="str">
        <f t="shared" si="1"/>
        <v/>
      </c>
      <c r="I61" s="44"/>
    </row>
    <row r="62" spans="2:9" x14ac:dyDescent="0.25">
      <c r="B62" s="80"/>
      <c r="C62" s="15"/>
      <c r="D62" s="15"/>
      <c r="E62" s="23"/>
      <c r="F62" s="23"/>
      <c r="G62" s="51"/>
      <c r="H62" s="18" t="str">
        <f t="shared" si="1"/>
        <v/>
      </c>
      <c r="I62" s="44"/>
    </row>
    <row r="63" spans="2:9" x14ac:dyDescent="0.25">
      <c r="B63" s="53" t="s">
        <v>233</v>
      </c>
      <c r="C63" s="15" t="s">
        <v>993</v>
      </c>
      <c r="D63" s="15"/>
      <c r="E63" s="23" t="s">
        <v>648</v>
      </c>
      <c r="F63" s="327">
        <v>150000</v>
      </c>
      <c r="G63" s="328">
        <v>1</v>
      </c>
      <c r="H63" s="18">
        <f t="shared" si="1"/>
        <v>150000</v>
      </c>
      <c r="I63" s="44"/>
    </row>
    <row r="64" spans="2:9" x14ac:dyDescent="0.25">
      <c r="B64" s="53"/>
      <c r="C64" s="15"/>
      <c r="D64" s="15"/>
      <c r="E64" s="23"/>
      <c r="F64" s="327"/>
      <c r="G64" s="328"/>
      <c r="H64" s="18" t="str">
        <f t="shared" si="1"/>
        <v/>
      </c>
      <c r="I64" s="44"/>
    </row>
    <row r="65" spans="2:9" ht="26.4" x14ac:dyDescent="0.25">
      <c r="B65" s="53" t="s">
        <v>235</v>
      </c>
      <c r="C65" s="162" t="s">
        <v>1050</v>
      </c>
      <c r="D65" s="15"/>
      <c r="E65" s="23" t="s">
        <v>36</v>
      </c>
      <c r="F65" s="329">
        <f>F63</f>
        <v>150000</v>
      </c>
      <c r="G65" s="330"/>
      <c r="H65" s="18">
        <f t="shared" si="1"/>
        <v>0</v>
      </c>
      <c r="I65" s="44"/>
    </row>
    <row r="66" spans="2:9" x14ac:dyDescent="0.25">
      <c r="B66" s="53"/>
      <c r="C66" s="1"/>
      <c r="D66" s="48"/>
      <c r="E66" s="23"/>
      <c r="F66" s="327"/>
      <c r="G66" s="328"/>
      <c r="H66" s="18" t="str">
        <f t="shared" si="1"/>
        <v/>
      </c>
      <c r="I66" s="44"/>
    </row>
    <row r="67" spans="2:9" x14ac:dyDescent="0.25">
      <c r="B67" s="53" t="s">
        <v>51</v>
      </c>
      <c r="C67" s="162" t="s">
        <v>994</v>
      </c>
      <c r="D67" s="15"/>
      <c r="E67" s="23"/>
      <c r="F67" s="327"/>
      <c r="G67" s="328"/>
      <c r="H67" s="18" t="str">
        <f t="shared" si="1"/>
        <v/>
      </c>
      <c r="I67" s="44"/>
    </row>
    <row r="68" spans="2:9" x14ac:dyDescent="0.25">
      <c r="B68" s="53"/>
      <c r="C68" s="162"/>
      <c r="D68" s="15"/>
      <c r="E68" s="23"/>
      <c r="F68" s="327"/>
      <c r="G68" s="328"/>
      <c r="H68" s="18" t="str">
        <f t="shared" si="1"/>
        <v/>
      </c>
      <c r="I68" s="44"/>
    </row>
    <row r="69" spans="2:9" x14ac:dyDescent="0.25">
      <c r="B69" s="53" t="s">
        <v>319</v>
      </c>
      <c r="C69" s="162" t="s">
        <v>993</v>
      </c>
      <c r="D69" s="15"/>
      <c r="E69" s="23" t="s">
        <v>648</v>
      </c>
      <c r="F69" s="327">
        <v>200000</v>
      </c>
      <c r="G69" s="328">
        <v>1</v>
      </c>
      <c r="H69" s="18">
        <f t="shared" si="1"/>
        <v>200000</v>
      </c>
      <c r="I69" s="44"/>
    </row>
    <row r="70" spans="2:9" x14ac:dyDescent="0.25">
      <c r="B70" s="53"/>
      <c r="C70" s="162"/>
      <c r="D70" s="15"/>
      <c r="E70" s="23"/>
      <c r="F70" s="327"/>
      <c r="G70" s="328"/>
      <c r="H70" s="18" t="str">
        <f t="shared" si="1"/>
        <v/>
      </c>
    </row>
    <row r="71" spans="2:9" ht="26.4" x14ac:dyDescent="0.25">
      <c r="B71" s="53" t="s">
        <v>320</v>
      </c>
      <c r="C71" s="162" t="s">
        <v>1051</v>
      </c>
      <c r="D71" s="15"/>
      <c r="E71" s="23" t="s">
        <v>36</v>
      </c>
      <c r="F71" s="329">
        <f>F69</f>
        <v>200000</v>
      </c>
      <c r="G71" s="330"/>
      <c r="H71" s="18">
        <f t="shared" si="1"/>
        <v>0</v>
      </c>
      <c r="I71" s="44"/>
    </row>
    <row r="72" spans="2:9" x14ac:dyDescent="0.25">
      <c r="B72" s="53"/>
      <c r="C72" s="162"/>
      <c r="D72" s="15"/>
      <c r="E72" s="23"/>
      <c r="F72" s="327"/>
      <c r="G72" s="328"/>
      <c r="H72" s="18" t="str">
        <f t="shared" si="1"/>
        <v/>
      </c>
      <c r="I72" s="52"/>
    </row>
    <row r="73" spans="2:9" x14ac:dyDescent="0.25">
      <c r="B73" s="53" t="s">
        <v>52</v>
      </c>
      <c r="C73" s="162" t="s">
        <v>996</v>
      </c>
      <c r="D73" s="15"/>
      <c r="E73" s="23"/>
      <c r="F73" s="327"/>
      <c r="G73" s="328"/>
      <c r="H73" s="18" t="str">
        <f t="shared" si="1"/>
        <v/>
      </c>
    </row>
    <row r="74" spans="2:9" x14ac:dyDescent="0.25">
      <c r="B74" s="53"/>
      <c r="C74" s="162"/>
      <c r="D74" s="15"/>
      <c r="E74" s="23"/>
      <c r="F74" s="327"/>
      <c r="G74" s="328"/>
      <c r="H74" s="18" t="str">
        <f t="shared" si="1"/>
        <v/>
      </c>
      <c r="I74" s="44"/>
    </row>
    <row r="75" spans="2:9" x14ac:dyDescent="0.25">
      <c r="B75" s="53" t="s">
        <v>366</v>
      </c>
      <c r="C75" s="162" t="s">
        <v>993</v>
      </c>
      <c r="D75" s="15"/>
      <c r="E75" s="23" t="s">
        <v>648</v>
      </c>
      <c r="F75" s="327">
        <v>300000</v>
      </c>
      <c r="G75" s="328">
        <v>1</v>
      </c>
      <c r="H75" s="18">
        <f t="shared" si="1"/>
        <v>300000</v>
      </c>
      <c r="I75" s="44"/>
    </row>
    <row r="76" spans="2:9" x14ac:dyDescent="0.25">
      <c r="B76" s="53"/>
      <c r="C76" s="162"/>
      <c r="D76" s="15"/>
      <c r="E76" s="23"/>
      <c r="F76" s="327"/>
      <c r="G76" s="328"/>
      <c r="H76" s="18" t="str">
        <f t="shared" si="1"/>
        <v/>
      </c>
      <c r="I76" s="44"/>
    </row>
    <row r="77" spans="2:9" ht="26.4" x14ac:dyDescent="0.25">
      <c r="B77" s="53" t="s">
        <v>367</v>
      </c>
      <c r="C77" s="162" t="s">
        <v>1052</v>
      </c>
      <c r="D77" s="15"/>
      <c r="E77" s="23" t="s">
        <v>36</v>
      </c>
      <c r="F77" s="329">
        <f>F75</f>
        <v>300000</v>
      </c>
      <c r="G77" s="330"/>
      <c r="H77" s="18">
        <f t="shared" si="1"/>
        <v>0</v>
      </c>
      <c r="I77" s="44"/>
    </row>
    <row r="78" spans="2:9" x14ac:dyDescent="0.25">
      <c r="B78" s="53"/>
      <c r="C78" s="162"/>
      <c r="D78" s="15"/>
      <c r="E78" s="23"/>
      <c r="F78" s="327"/>
      <c r="G78" s="328"/>
      <c r="H78" s="18" t="str">
        <f t="shared" si="1"/>
        <v/>
      </c>
      <c r="I78" s="44"/>
    </row>
    <row r="79" spans="2:9" ht="26.4" x14ac:dyDescent="0.25">
      <c r="B79" s="53" t="s">
        <v>53</v>
      </c>
      <c r="C79" s="162" t="s">
        <v>1014</v>
      </c>
      <c r="D79" s="15"/>
      <c r="E79" s="23"/>
      <c r="F79" s="327"/>
      <c r="G79" s="328"/>
      <c r="H79" s="18" t="str">
        <f t="shared" si="1"/>
        <v/>
      </c>
      <c r="I79" s="44"/>
    </row>
    <row r="80" spans="2:9" x14ac:dyDescent="0.25">
      <c r="B80" s="53"/>
      <c r="C80" s="162"/>
      <c r="D80" s="15"/>
      <c r="E80" s="23"/>
      <c r="F80" s="327"/>
      <c r="G80" s="331"/>
      <c r="H80" s="18" t="str">
        <f t="shared" si="1"/>
        <v/>
      </c>
      <c r="I80" s="44"/>
    </row>
    <row r="81" spans="2:9" x14ac:dyDescent="0.25">
      <c r="B81" s="53" t="s">
        <v>382</v>
      </c>
      <c r="C81" s="162" t="s">
        <v>1015</v>
      </c>
      <c r="D81" s="15"/>
      <c r="E81" s="23" t="s">
        <v>648</v>
      </c>
      <c r="F81" s="332">
        <v>295000</v>
      </c>
      <c r="G81" s="333">
        <v>1</v>
      </c>
      <c r="H81" s="18">
        <f t="shared" si="1"/>
        <v>295000</v>
      </c>
      <c r="I81" s="44"/>
    </row>
    <row r="82" spans="2:9" x14ac:dyDescent="0.25">
      <c r="B82" s="53"/>
      <c r="C82" s="162"/>
      <c r="D82" s="15"/>
      <c r="E82" s="23"/>
      <c r="F82" s="327"/>
      <c r="G82" s="333"/>
      <c r="H82" s="18" t="str">
        <f t="shared" si="1"/>
        <v/>
      </c>
      <c r="I82" s="44"/>
    </row>
    <row r="83" spans="2:9" ht="26.4" x14ac:dyDescent="0.25">
      <c r="B83" s="53" t="s">
        <v>997</v>
      </c>
      <c r="C83" s="162" t="s">
        <v>1053</v>
      </c>
      <c r="D83" s="15"/>
      <c r="E83" s="23" t="s">
        <v>36</v>
      </c>
      <c r="F83" s="332">
        <f>F81</f>
        <v>295000</v>
      </c>
      <c r="G83" s="330"/>
      <c r="H83" s="18">
        <f t="shared" si="1"/>
        <v>0</v>
      </c>
      <c r="I83" s="44"/>
    </row>
    <row r="84" spans="2:9" x14ac:dyDescent="0.25">
      <c r="B84" s="53"/>
      <c r="C84" s="162"/>
      <c r="D84" s="15"/>
      <c r="E84" s="23"/>
      <c r="F84" s="23"/>
      <c r="G84" s="41"/>
      <c r="H84" s="18"/>
      <c r="I84" s="44"/>
    </row>
    <row r="85" spans="2:9" x14ac:dyDescent="0.25">
      <c r="B85" s="53"/>
      <c r="C85" s="162"/>
      <c r="D85" s="15"/>
      <c r="E85" s="23"/>
      <c r="F85" s="23"/>
      <c r="G85" s="41"/>
      <c r="H85" s="18"/>
      <c r="I85" s="44"/>
    </row>
    <row r="86" spans="2:9" x14ac:dyDescent="0.25">
      <c r="B86" s="53"/>
      <c r="C86" s="162"/>
      <c r="D86" s="15"/>
      <c r="E86" s="23"/>
      <c r="F86" s="23"/>
      <c r="G86" s="41"/>
      <c r="H86" s="18"/>
      <c r="I86" s="44"/>
    </row>
    <row r="87" spans="2:9" x14ac:dyDescent="0.25">
      <c r="B87" s="53"/>
      <c r="C87" s="162"/>
      <c r="D87" s="15"/>
      <c r="E87" s="23"/>
      <c r="F87" s="23"/>
      <c r="G87" s="41"/>
      <c r="H87" s="18"/>
      <c r="I87" s="44"/>
    </row>
    <row r="88" spans="2:9" x14ac:dyDescent="0.25">
      <c r="B88" s="53"/>
      <c r="C88" s="162"/>
      <c r="D88" s="15"/>
      <c r="E88" s="23"/>
      <c r="F88" s="23"/>
      <c r="G88" s="41"/>
      <c r="H88" s="18"/>
      <c r="I88" s="44"/>
    </row>
    <row r="89" spans="2:9" x14ac:dyDescent="0.25">
      <c r="B89" s="53"/>
      <c r="C89" s="162"/>
      <c r="D89" s="15"/>
      <c r="E89" s="23"/>
      <c r="F89" s="23"/>
      <c r="G89" s="41"/>
      <c r="H89" s="18"/>
      <c r="I89" s="44"/>
    </row>
    <row r="90" spans="2:9" x14ac:dyDescent="0.25">
      <c r="B90" s="53"/>
      <c r="C90" s="162"/>
      <c r="D90" s="15"/>
      <c r="E90" s="23"/>
      <c r="F90" s="23"/>
      <c r="G90" s="41"/>
      <c r="H90" s="18"/>
      <c r="I90" s="44"/>
    </row>
    <row r="91" spans="2:9" x14ac:dyDescent="0.25">
      <c r="B91" s="53"/>
      <c r="C91" s="162"/>
      <c r="D91" s="15"/>
      <c r="E91" s="23"/>
      <c r="F91" s="23"/>
      <c r="G91" s="41"/>
      <c r="H91" s="18"/>
      <c r="I91" s="44"/>
    </row>
    <row r="92" spans="2:9" x14ac:dyDescent="0.25">
      <c r="B92" s="53"/>
      <c r="C92" s="162"/>
      <c r="D92" s="15"/>
      <c r="E92" s="23"/>
      <c r="F92" s="23"/>
      <c r="G92" s="41"/>
      <c r="H92" s="18"/>
      <c r="I92" s="44"/>
    </row>
    <row r="93" spans="2:9" x14ac:dyDescent="0.25">
      <c r="B93" s="53"/>
      <c r="C93" s="162"/>
      <c r="D93" s="15"/>
      <c r="E93" s="23"/>
      <c r="F93" s="23"/>
      <c r="G93" s="41"/>
      <c r="H93" s="18"/>
      <c r="I93" s="44"/>
    </row>
    <row r="94" spans="2:9" x14ac:dyDescent="0.25">
      <c r="B94" s="53"/>
      <c r="C94" s="162"/>
      <c r="D94" s="15"/>
      <c r="E94" s="23"/>
      <c r="F94" s="23"/>
      <c r="G94" s="41"/>
      <c r="H94" s="18"/>
      <c r="I94" s="44"/>
    </row>
    <row r="95" spans="2:9" x14ac:dyDescent="0.25">
      <c r="B95" s="53"/>
      <c r="C95" s="162"/>
      <c r="D95" s="15"/>
      <c r="E95" s="23"/>
      <c r="F95" s="23"/>
      <c r="G95" s="41"/>
      <c r="H95" s="18"/>
      <c r="I95" s="44"/>
    </row>
    <row r="96" spans="2:9" x14ac:dyDescent="0.25">
      <c r="B96" s="53"/>
      <c r="C96" s="162"/>
      <c r="D96" s="15"/>
      <c r="E96" s="23"/>
      <c r="F96" s="23"/>
      <c r="G96" s="41"/>
      <c r="H96" s="18"/>
      <c r="I96" s="44"/>
    </row>
    <row r="97" spans="2:9" x14ac:dyDescent="0.25">
      <c r="B97" s="53"/>
      <c r="C97" s="162"/>
      <c r="D97" s="15"/>
      <c r="E97" s="23"/>
      <c r="F97" s="23"/>
      <c r="G97" s="41"/>
      <c r="H97" s="18"/>
      <c r="I97" s="44"/>
    </row>
    <row r="98" spans="2:9" x14ac:dyDescent="0.25">
      <c r="B98" s="53"/>
      <c r="C98" s="162"/>
      <c r="D98" s="15"/>
      <c r="E98" s="23"/>
      <c r="F98" s="23"/>
      <c r="G98" s="41"/>
      <c r="H98" s="18"/>
      <c r="I98" s="44"/>
    </row>
    <row r="99" spans="2:9" x14ac:dyDescent="0.25">
      <c r="B99" s="53"/>
      <c r="C99" s="162"/>
      <c r="D99" s="15"/>
      <c r="E99" s="23"/>
      <c r="F99" s="23"/>
      <c r="G99" s="41"/>
      <c r="H99" s="18"/>
      <c r="I99" s="44"/>
    </row>
    <row r="100" spans="2:9" x14ac:dyDescent="0.25">
      <c r="B100" s="53"/>
      <c r="C100" s="162"/>
      <c r="D100" s="15"/>
      <c r="E100" s="23"/>
      <c r="F100" s="23"/>
      <c r="G100" s="41"/>
      <c r="H100" s="18"/>
      <c r="I100" s="44"/>
    </row>
    <row r="101" spans="2:9" x14ac:dyDescent="0.25">
      <c r="B101" s="53"/>
      <c r="C101" s="162"/>
      <c r="D101" s="15"/>
      <c r="E101" s="23"/>
      <c r="F101" s="23"/>
      <c r="G101" s="41"/>
      <c r="H101" s="18"/>
      <c r="I101" s="44"/>
    </row>
    <row r="102" spans="2:9" x14ac:dyDescent="0.25">
      <c r="B102" s="53"/>
      <c r="C102" s="162"/>
      <c r="D102" s="15"/>
      <c r="E102" s="23"/>
      <c r="F102" s="23"/>
      <c r="G102" s="41"/>
      <c r="H102" s="18"/>
      <c r="I102" s="44"/>
    </row>
    <row r="103" spans="2:9" x14ac:dyDescent="0.25">
      <c r="B103" s="53"/>
      <c r="C103" s="162"/>
      <c r="D103" s="15"/>
      <c r="E103" s="23"/>
      <c r="F103" s="23"/>
      <c r="G103" s="41"/>
      <c r="H103" s="18"/>
      <c r="I103" s="44"/>
    </row>
    <row r="104" spans="2:9" x14ac:dyDescent="0.25">
      <c r="B104" s="53"/>
      <c r="C104" s="162"/>
      <c r="D104" s="15"/>
      <c r="E104" s="23"/>
      <c r="F104" s="23"/>
      <c r="G104" s="41"/>
      <c r="H104" s="18"/>
      <c r="I104" s="44"/>
    </row>
    <row r="105" spans="2:9" x14ac:dyDescent="0.25">
      <c r="B105" s="53"/>
      <c r="C105" s="162"/>
      <c r="D105" s="15"/>
      <c r="E105" s="23"/>
      <c r="F105" s="23"/>
      <c r="G105" s="41"/>
      <c r="H105" s="18"/>
      <c r="I105" s="44"/>
    </row>
    <row r="106" spans="2:9" x14ac:dyDescent="0.25">
      <c r="B106" s="53"/>
      <c r="C106" s="162"/>
      <c r="D106" s="15"/>
      <c r="E106" s="23"/>
      <c r="F106" s="23"/>
      <c r="G106" s="41"/>
      <c r="H106" s="18"/>
      <c r="I106" s="44"/>
    </row>
    <row r="107" spans="2:9" x14ac:dyDescent="0.25">
      <c r="B107" s="53"/>
      <c r="C107" s="162"/>
      <c r="D107" s="15"/>
      <c r="E107" s="23"/>
      <c r="F107" s="23"/>
      <c r="G107" s="41"/>
      <c r="H107" s="18"/>
      <c r="I107" s="44"/>
    </row>
    <row r="108" spans="2:9" x14ac:dyDescent="0.25">
      <c r="B108" s="53"/>
      <c r="C108" s="162"/>
      <c r="D108" s="15"/>
      <c r="E108" s="23"/>
      <c r="F108" s="23"/>
      <c r="G108" s="41"/>
      <c r="H108" s="18"/>
      <c r="I108" s="44"/>
    </row>
    <row r="109" spans="2:9" x14ac:dyDescent="0.25">
      <c r="B109" s="53"/>
      <c r="C109" s="162"/>
      <c r="D109" s="15"/>
      <c r="E109" s="23"/>
      <c r="F109" s="23"/>
      <c r="G109" s="41"/>
      <c r="H109" s="18"/>
      <c r="I109" s="44"/>
    </row>
    <row r="110" spans="2:9" x14ac:dyDescent="0.25">
      <c r="B110" s="53"/>
      <c r="C110" s="162"/>
      <c r="D110" s="15"/>
      <c r="E110" s="23"/>
      <c r="F110" s="23"/>
      <c r="G110" s="41"/>
      <c r="H110" s="18"/>
      <c r="I110" s="44"/>
    </row>
    <row r="111" spans="2:9" x14ac:dyDescent="0.25">
      <c r="B111" s="53"/>
      <c r="C111" s="162"/>
      <c r="D111" s="15"/>
      <c r="E111" s="23"/>
      <c r="F111" s="23"/>
      <c r="G111" s="41"/>
      <c r="H111" s="18"/>
      <c r="I111" s="44"/>
    </row>
    <row r="112" spans="2:9" x14ac:dyDescent="0.25">
      <c r="B112" s="53"/>
      <c r="C112" s="162"/>
      <c r="D112" s="15"/>
      <c r="E112" s="23"/>
      <c r="F112" s="23"/>
      <c r="G112" s="41"/>
      <c r="H112" s="18"/>
      <c r="I112" s="44"/>
    </row>
    <row r="113" spans="2:9" x14ac:dyDescent="0.25">
      <c r="B113" s="53"/>
      <c r="C113" s="162"/>
      <c r="D113" s="15"/>
      <c r="E113" s="23"/>
      <c r="F113" s="23"/>
      <c r="G113" s="41"/>
      <c r="H113" s="18"/>
      <c r="I113" s="44"/>
    </row>
    <row r="114" spans="2:9" x14ac:dyDescent="0.25">
      <c r="B114" s="53"/>
      <c r="C114" s="162"/>
      <c r="D114" s="15"/>
      <c r="E114" s="23"/>
      <c r="F114" s="23"/>
      <c r="G114" s="41"/>
      <c r="H114" s="18"/>
      <c r="I114" s="44"/>
    </row>
    <row r="115" spans="2:9" x14ac:dyDescent="0.25">
      <c r="B115" s="53"/>
      <c r="C115" s="162"/>
      <c r="D115" s="15"/>
      <c r="E115" s="23"/>
      <c r="F115" s="23"/>
      <c r="G115" s="41"/>
      <c r="H115" s="18"/>
      <c r="I115" s="44"/>
    </row>
    <row r="116" spans="2:9" x14ac:dyDescent="0.25">
      <c r="B116" s="53"/>
      <c r="C116" s="162"/>
      <c r="D116" s="15"/>
      <c r="E116" s="23"/>
      <c r="F116" s="23"/>
      <c r="G116" s="41"/>
      <c r="H116" s="18"/>
      <c r="I116" s="44"/>
    </row>
    <row r="117" spans="2:9" x14ac:dyDescent="0.25">
      <c r="B117" s="53"/>
      <c r="C117" s="162"/>
      <c r="D117" s="15"/>
      <c r="E117" s="23"/>
      <c r="F117" s="23"/>
      <c r="G117" s="41"/>
      <c r="H117" s="18"/>
      <c r="I117" s="44"/>
    </row>
    <row r="118" spans="2:9" x14ac:dyDescent="0.25">
      <c r="B118" s="53"/>
      <c r="C118" s="162"/>
      <c r="D118" s="15"/>
      <c r="E118" s="23"/>
      <c r="F118" s="23"/>
      <c r="G118" s="41"/>
      <c r="H118" s="18"/>
      <c r="I118" s="44"/>
    </row>
    <row r="119" spans="2:9" x14ac:dyDescent="0.25">
      <c r="B119" s="53"/>
      <c r="C119" s="162"/>
      <c r="D119" s="484"/>
      <c r="E119" s="23"/>
      <c r="F119" s="23"/>
      <c r="G119" s="41"/>
      <c r="H119" s="18" t="str">
        <f>IF(E119="","",F119*G119)</f>
        <v/>
      </c>
      <c r="I119" s="44"/>
    </row>
    <row r="120" spans="2:9" s="31" customFormat="1" ht="19.5" customHeight="1" x14ac:dyDescent="0.25">
      <c r="B120" s="151" t="str">
        <f>$B$11</f>
        <v>F</v>
      </c>
      <c r="C120" s="33" t="str">
        <f>"TOTAL CARRIED FORWARD"&amp;IF(H120=H$1," TO SUMMARY (Page C"&amp;Page_F&amp;")","")</f>
        <v>TOTAL CARRIED FORWARD TO SUMMARY (Page C63)</v>
      </c>
      <c r="D120" s="33"/>
      <c r="E120" s="34"/>
      <c r="F120" s="35"/>
      <c r="G120" s="34"/>
      <c r="H120" s="36">
        <f>SUM(H59:H119)</f>
        <v>30099061</v>
      </c>
      <c r="I120" s="37"/>
    </row>
  </sheetData>
  <mergeCells count="11">
    <mergeCell ref="B54:G54"/>
    <mergeCell ref="H54:H57"/>
    <mergeCell ref="B55:G57"/>
    <mergeCell ref="F2:H2"/>
    <mergeCell ref="B5:G5"/>
    <mergeCell ref="H5:H8"/>
    <mergeCell ref="B6:G8"/>
    <mergeCell ref="B51:E51"/>
    <mergeCell ref="F51:H53"/>
    <mergeCell ref="B52:E52"/>
    <mergeCell ref="B53:E53"/>
  </mergeCells>
  <pageMargins left="0.62992125984251968" right="0.43307086614173229" top="0.62992125984251968" bottom="0.55118110236220474" header="0.51181102362204722" footer="0.31496062992125984"/>
  <pageSetup paperSize="9" scale="77"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rowBreaks count="1" manualBreakCount="1">
    <brk id="50" max="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24918-0D3A-4577-ABF6-8036AC4FDCB4}">
  <sheetPr>
    <tabColor theme="3" tint="0.59999389629810485"/>
  </sheetPr>
  <dimension ref="B1:N164"/>
  <sheetViews>
    <sheetView showGridLines="0" view="pageBreakPreview" zoomScaleNormal="100" zoomScaleSheetLayoutView="100" zoomScalePageLayoutView="150" workbookViewId="0">
      <selection activeCell="D114" sqref="D114"/>
    </sheetView>
  </sheetViews>
  <sheetFormatPr defaultColWidth="8.6640625" defaultRowHeight="13.2" x14ac:dyDescent="0.25"/>
  <cols>
    <col min="1" max="1" width="2" style="56" customWidth="1"/>
    <col min="2" max="2" width="8.44140625" style="59" customWidth="1"/>
    <col min="3" max="3" width="55.6640625" style="57" customWidth="1"/>
    <col min="4" max="4" width="6.5546875" style="57" customWidth="1"/>
    <col min="5" max="5" width="21.6640625" style="144" customWidth="1"/>
    <col min="6" max="6" width="1.44140625" style="56" customWidth="1"/>
    <col min="7" max="7" width="4.44140625" style="56" customWidth="1"/>
    <col min="8" max="8" width="9.5546875" style="56" customWidth="1"/>
    <col min="9" max="9" width="11.44140625" style="145" customWidth="1"/>
    <col min="10" max="10" width="11.5546875" style="56" bestFit="1" customWidth="1"/>
    <col min="11" max="11" width="8.6640625" style="56"/>
    <col min="12" max="12" width="15.44140625" style="56" customWidth="1"/>
    <col min="13" max="13" width="12.5546875" style="56" customWidth="1"/>
    <col min="14" max="14" width="9.44140625" style="56" customWidth="1"/>
    <col min="15" max="16384" width="8.6640625" style="56"/>
  </cols>
  <sheetData>
    <row r="1" spans="2:14" s="1" customFormat="1" ht="18" customHeight="1" x14ac:dyDescent="0.25">
      <c r="B1" s="2" t="str">
        <f>Client1</f>
        <v>Province of KwaZulu-Natal</v>
      </c>
      <c r="C1" s="3"/>
      <c r="D1" s="3"/>
      <c r="F1" s="6" t="str">
        <f>"Contract No. "&amp;ContractNo</f>
        <v>Contract No. ZNB02215/00000/00/HOD/INF/23/T</v>
      </c>
      <c r="H1" s="4"/>
      <c r="I1" s="238"/>
      <c r="M1" s="4"/>
    </row>
    <row r="2" spans="2:14" s="1" customFormat="1" ht="16.5" customHeight="1" x14ac:dyDescent="0.25">
      <c r="B2" s="96" t="str">
        <f>Client2</f>
        <v>Department of Transport</v>
      </c>
      <c r="C2" s="3"/>
      <c r="D2" s="3"/>
      <c r="E2" s="4"/>
      <c r="F2" s="4"/>
      <c r="G2" s="4"/>
      <c r="H2" s="4"/>
      <c r="I2" s="238"/>
      <c r="K2" s="5"/>
      <c r="L2" s="5"/>
      <c r="M2" s="4"/>
    </row>
    <row r="3" spans="2:14" s="1" customFormat="1" ht="13.5" customHeight="1" x14ac:dyDescent="0.25">
      <c r="B3" s="237"/>
      <c r="C3" s="3"/>
      <c r="D3" s="3"/>
      <c r="E3" s="4"/>
      <c r="F3" s="4"/>
      <c r="G3" s="4"/>
      <c r="H3" s="4"/>
      <c r="I3" s="238"/>
      <c r="K3" s="5"/>
      <c r="L3" s="5"/>
      <c r="M3" s="4"/>
    </row>
    <row r="4" spans="2:14" s="1" customFormat="1" ht="13.5" customHeight="1" x14ac:dyDescent="0.25">
      <c r="B4" s="237"/>
      <c r="C4" s="3"/>
      <c r="D4" s="3"/>
      <c r="E4" s="4"/>
      <c r="F4" s="4"/>
      <c r="G4" s="4"/>
      <c r="H4" s="4"/>
      <c r="I4" s="238"/>
      <c r="K4" s="5"/>
      <c r="L4" s="5"/>
      <c r="M4" s="4"/>
    </row>
    <row r="5" spans="2:14" ht="12.75" customHeight="1" x14ac:dyDescent="0.25">
      <c r="B5" s="360" t="s">
        <v>1548</v>
      </c>
      <c r="C5" s="13"/>
      <c r="D5" s="13"/>
      <c r="E5" s="13"/>
    </row>
    <row r="6" spans="2:14" ht="12.75" customHeight="1" x14ac:dyDescent="0.25">
      <c r="B6" s="9"/>
      <c r="C6" s="7"/>
      <c r="D6" s="7"/>
      <c r="E6" s="7"/>
    </row>
    <row r="7" spans="2:14" ht="12.75" customHeight="1" x14ac:dyDescent="0.25">
      <c r="B7" s="527" t="s">
        <v>1413</v>
      </c>
      <c r="C7" s="527"/>
      <c r="D7" s="527"/>
      <c r="E7" s="527"/>
    </row>
    <row r="8" spans="2:14" ht="12.75" customHeight="1" x14ac:dyDescent="0.25">
      <c r="B8" s="361"/>
      <c r="C8" s="361"/>
      <c r="D8" s="361"/>
      <c r="E8" s="361"/>
    </row>
    <row r="9" spans="2:14" ht="25.5" customHeight="1" x14ac:dyDescent="0.25">
      <c r="B9" s="526" t="str">
        <f>ContractDescription</f>
        <v>UPGRADING OF MAIN ROAD P8/3 FROM GRAVEL TO BLACKTOP BETWEEN KM 17.560 AND KM 24.221 IN THE PIETERMARITZBURG REGION</v>
      </c>
      <c r="C9" s="526"/>
      <c r="D9" s="526"/>
      <c r="E9" s="526"/>
      <c r="F9" s="59"/>
      <c r="G9" s="100"/>
      <c r="H9" s="59"/>
    </row>
    <row r="10" spans="2:14" ht="5.25" customHeight="1" thickBot="1" x14ac:dyDescent="0.3">
      <c r="B10" s="528"/>
      <c r="C10" s="528"/>
      <c r="D10" s="528"/>
      <c r="E10" s="528"/>
    </row>
    <row r="11" spans="2:14" s="13" customFormat="1" ht="25.2" customHeight="1" thickBot="1" x14ac:dyDescent="0.3">
      <c r="B11" s="243" t="s">
        <v>970</v>
      </c>
      <c r="C11" s="244" t="s">
        <v>1</v>
      </c>
      <c r="D11" s="362" t="s">
        <v>951</v>
      </c>
      <c r="E11" s="245" t="s">
        <v>5</v>
      </c>
      <c r="I11" s="249"/>
    </row>
    <row r="12" spans="2:14" ht="21" customHeight="1" x14ac:dyDescent="0.25">
      <c r="B12" s="252" t="s">
        <v>1013</v>
      </c>
      <c r="C12" s="363" t="str">
        <f>'Chapter F'!C11</f>
        <v>SMALL CONTRACTOR DEVELOPMENT</v>
      </c>
      <c r="D12" s="368">
        <f>Page_F-1</f>
        <v>62</v>
      </c>
      <c r="E12" s="364">
        <f>'Chapter F'!H1</f>
        <v>30099061</v>
      </c>
      <c r="H12" s="13"/>
      <c r="I12" s="257"/>
    </row>
    <row r="13" spans="2:14" ht="9" customHeight="1" thickBot="1" x14ac:dyDescent="0.3">
      <c r="B13" s="282"/>
      <c r="C13" s="283"/>
      <c r="D13" s="369"/>
      <c r="E13" s="314"/>
      <c r="H13" s="13"/>
      <c r="I13" s="257"/>
    </row>
    <row r="14" spans="2:14" ht="23.7" customHeight="1" thickBot="1" x14ac:dyDescent="0.3">
      <c r="B14" s="365" t="str">
        <f>"TOTAL CARRIED FORWARD TO SUMMARY (Page C"&amp;_Summary&amp;")"</f>
        <v>TOTAL CARRIED FORWARD TO SUMMARY (Page C64)</v>
      </c>
      <c r="C14" s="366"/>
      <c r="D14" s="367"/>
      <c r="E14" s="345">
        <f>SUM(E12:E13)</f>
        <v>30099061</v>
      </c>
      <c r="N14" s="56">
        <f>31+26</f>
        <v>57</v>
      </c>
    </row>
    <row r="15" spans="2:14" x14ac:dyDescent="0.25">
      <c r="E15" s="303"/>
      <c r="G15" s="370"/>
    </row>
    <row r="66" spans="2:8" x14ac:dyDescent="0.25">
      <c r="B66" s="10"/>
      <c r="C66" s="10"/>
      <c r="D66" s="10"/>
      <c r="E66" s="10"/>
      <c r="F66" s="59"/>
      <c r="G66" s="59"/>
      <c r="H66" s="59"/>
    </row>
    <row r="164" spans="2:8" x14ac:dyDescent="0.25">
      <c r="B164" s="10"/>
      <c r="C164" s="10"/>
      <c r="D164" s="10"/>
      <c r="E164" s="10"/>
      <c r="F164" s="59"/>
      <c r="G164" s="59"/>
      <c r="H164" s="59"/>
    </row>
  </sheetData>
  <mergeCells count="3">
    <mergeCell ref="B7:E7"/>
    <mergeCell ref="B10:E10"/>
    <mergeCell ref="B9:E9"/>
  </mergeCells>
  <pageMargins left="0.62992125984251968" right="0.43307086614173229" top="0.62992125984251968" bottom="0.55118110236220474" header="0.51181102362204722" footer="0.31496062992125984"/>
  <pageSetup paperSize="9" scale="85"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131C2-D09F-4FBF-A1D5-490928F4FD95}">
  <sheetPr>
    <tabColor theme="3" tint="0.59999389629810485"/>
  </sheetPr>
  <dimension ref="A1:U165"/>
  <sheetViews>
    <sheetView showGridLines="0" view="pageBreakPreview" zoomScaleNormal="100" zoomScaleSheetLayoutView="100" zoomScalePageLayoutView="150" workbookViewId="0">
      <selection activeCell="O12" sqref="O12"/>
    </sheetView>
  </sheetViews>
  <sheetFormatPr defaultColWidth="8.6640625" defaultRowHeight="13.2" x14ac:dyDescent="0.25"/>
  <cols>
    <col min="1" max="1" width="3.5546875" style="56" customWidth="1"/>
    <col min="2" max="2" width="8.44140625" style="59" customWidth="1"/>
    <col min="3" max="3" width="47.5546875" style="57" customWidth="1"/>
    <col min="4" max="4" width="7" style="57" customWidth="1"/>
    <col min="5" max="5" width="24.5546875" style="144" customWidth="1"/>
    <col min="6" max="6" width="4.6640625" style="56" customWidth="1"/>
    <col min="7" max="7" width="3.6640625" style="56" customWidth="1"/>
    <col min="8" max="8" width="14.5546875" style="56" customWidth="1"/>
    <col min="9" max="9" width="18.44140625" style="145" customWidth="1"/>
    <col min="10" max="10" width="15.44140625" style="56" customWidth="1"/>
    <col min="11" max="11" width="13.6640625" style="56" bestFit="1" customWidth="1"/>
    <col min="12" max="12" width="15.33203125" style="56" bestFit="1" customWidth="1"/>
    <col min="13" max="16384" width="8.6640625" style="56"/>
  </cols>
  <sheetData>
    <row r="1" spans="2:12" s="1" customFormat="1" ht="18" customHeight="1" x14ac:dyDescent="0.25">
      <c r="B1" s="2" t="str">
        <f>Client1</f>
        <v>Province of KwaZulu-Natal</v>
      </c>
      <c r="C1" s="3"/>
      <c r="D1" s="3"/>
      <c r="F1" s="6" t="str">
        <f>"Contract No. "&amp;ContractNo</f>
        <v>Contract No. ZNB02215/00000/00/HOD/INF/23/T</v>
      </c>
      <c r="H1" s="4"/>
      <c r="I1" s="238"/>
      <c r="K1" s="4"/>
    </row>
    <row r="2" spans="2:12" s="1" customFormat="1" ht="16.5" customHeight="1" x14ac:dyDescent="0.25">
      <c r="B2" s="96" t="str">
        <f>Client2</f>
        <v>Department of Transport</v>
      </c>
      <c r="C2" s="3"/>
      <c r="D2" s="3"/>
      <c r="E2" s="4"/>
      <c r="F2" s="4"/>
      <c r="G2" s="4"/>
      <c r="H2" s="4"/>
      <c r="I2" s="238"/>
      <c r="J2" s="5"/>
      <c r="K2" s="4"/>
    </row>
    <row r="3" spans="2:12" s="1" customFormat="1" ht="13.5" customHeight="1" x14ac:dyDescent="0.25">
      <c r="B3" s="96"/>
      <c r="C3" s="3"/>
      <c r="D3" s="3"/>
      <c r="E3" s="4"/>
      <c r="F3" s="4"/>
      <c r="G3" s="4"/>
      <c r="H3" s="4"/>
      <c r="I3" s="238"/>
      <c r="J3" s="5"/>
      <c r="K3" s="4"/>
    </row>
    <row r="4" spans="2:12" ht="12.75" customHeight="1" x14ac:dyDescent="0.25">
      <c r="B4" s="501" t="s">
        <v>952</v>
      </c>
      <c r="C4" s="501"/>
      <c r="D4" s="501"/>
      <c r="E4" s="501"/>
    </row>
    <row r="5" spans="2:12" ht="25.5" customHeight="1" x14ac:dyDescent="0.25">
      <c r="B5" s="526" t="str">
        <f>ContractDescription</f>
        <v>UPGRADING OF MAIN ROAD P8/3 FROM GRAVEL TO BLACKTOP BETWEEN KM 17.560 AND KM 24.221 IN THE PIETERMARITZBURG REGION</v>
      </c>
      <c r="C5" s="526"/>
      <c r="D5" s="526"/>
      <c r="E5" s="526"/>
    </row>
    <row r="6" spans="2:12" ht="5.25" customHeight="1" thickBot="1" x14ac:dyDescent="0.3">
      <c r="B6" s="528"/>
      <c r="C6" s="528"/>
      <c r="D6" s="528"/>
      <c r="E6" s="528"/>
    </row>
    <row r="7" spans="2:12" s="13" customFormat="1" ht="25.2" customHeight="1" thickBot="1" x14ac:dyDescent="0.3">
      <c r="B7" s="371"/>
      <c r="C7" s="372" t="s">
        <v>1</v>
      </c>
      <c r="D7" s="362" t="s">
        <v>951</v>
      </c>
      <c r="E7" s="245" t="s">
        <v>5</v>
      </c>
      <c r="I7" s="469"/>
      <c r="K7" s="470"/>
    </row>
    <row r="8" spans="2:12" ht="21" customHeight="1" x14ac:dyDescent="0.25">
      <c r="B8" s="551" t="s">
        <v>1382</v>
      </c>
      <c r="C8" s="552"/>
      <c r="D8" s="368">
        <f>Page_A</f>
        <v>57</v>
      </c>
      <c r="E8" s="314">
        <f>'A1'!E33</f>
        <v>1135000</v>
      </c>
      <c r="H8" s="13"/>
      <c r="I8" s="257"/>
    </row>
    <row r="9" spans="2:12" ht="21" customHeight="1" x14ac:dyDescent="0.25">
      <c r="B9" s="553" t="s">
        <v>1417</v>
      </c>
      <c r="C9" s="554"/>
      <c r="D9" s="368">
        <f>Page_E</f>
        <v>60</v>
      </c>
      <c r="E9" s="314">
        <f>'E1'!E14</f>
        <v>3050000</v>
      </c>
      <c r="G9" s="13"/>
      <c r="H9" s="13"/>
      <c r="I9" s="257"/>
    </row>
    <row r="10" spans="2:12" ht="21" customHeight="1" x14ac:dyDescent="0.25">
      <c r="B10" s="553" t="s">
        <v>1418</v>
      </c>
      <c r="C10" s="554"/>
      <c r="D10" s="368">
        <f>Page_F</f>
        <v>63</v>
      </c>
      <c r="E10" s="314">
        <f>'F1'!E14</f>
        <v>30099061</v>
      </c>
      <c r="H10" s="13"/>
      <c r="I10" s="257"/>
    </row>
    <row r="11" spans="2:12" ht="5.25" customHeight="1" thickBot="1" x14ac:dyDescent="0.3">
      <c r="B11" s="373"/>
      <c r="C11" s="374"/>
      <c r="D11" s="375"/>
      <c r="E11" s="342"/>
    </row>
    <row r="12" spans="2:12" ht="21" customHeight="1" thickBot="1" x14ac:dyDescent="0.3">
      <c r="B12" s="544" t="s">
        <v>1397</v>
      </c>
      <c r="C12" s="545"/>
      <c r="D12" s="546"/>
      <c r="E12" s="343">
        <f>ROUND(SUM(E8:E11),2)</f>
        <v>34284061</v>
      </c>
      <c r="I12" s="257"/>
      <c r="J12" s="376"/>
    </row>
    <row r="13" spans="2:12" ht="33.6" customHeight="1" thickBot="1" x14ac:dyDescent="0.3">
      <c r="B13" s="555" t="s">
        <v>1563</v>
      </c>
      <c r="C13" s="556"/>
      <c r="D13" s="557"/>
      <c r="E13" s="478">
        <f>E12*0.25%</f>
        <v>85710.152499999997</v>
      </c>
      <c r="I13" s="257"/>
      <c r="J13" s="376"/>
    </row>
    <row r="14" spans="2:12" ht="21" customHeight="1" thickBot="1" x14ac:dyDescent="0.3">
      <c r="B14" s="544" t="s">
        <v>1398</v>
      </c>
      <c r="C14" s="545"/>
      <c r="D14" s="546"/>
      <c r="E14" s="343">
        <f>SUM(E12:E13)</f>
        <v>34369771.152500004</v>
      </c>
      <c r="I14" s="257"/>
      <c r="J14" s="376"/>
    </row>
    <row r="15" spans="2:12" ht="21.75" customHeight="1" thickBot="1" x14ac:dyDescent="0.3">
      <c r="B15" s="541" t="str">
        <f>"CONTINGENCIES ("&amp;TEXT(I15,"0.0%")&amp;" of Subtotal 1)"</f>
        <v>CONTINGENCIES (10.0% of Subtotal 1)</v>
      </c>
      <c r="C15" s="542"/>
      <c r="D15" s="543"/>
      <c r="E15" s="344">
        <f>ROUND(E14*$I$15,2)</f>
        <v>3436977.12</v>
      </c>
      <c r="H15" s="60" t="s">
        <v>1414</v>
      </c>
      <c r="I15" s="377">
        <v>0.1</v>
      </c>
      <c r="L15" s="376"/>
    </row>
    <row r="16" spans="2:12" ht="21" customHeight="1" thickBot="1" x14ac:dyDescent="0.3">
      <c r="B16" s="544" t="s">
        <v>1399</v>
      </c>
      <c r="C16" s="545"/>
      <c r="D16" s="546"/>
      <c r="E16" s="345">
        <f>SUM(E14:E15)</f>
        <v>37806748.272500001</v>
      </c>
      <c r="G16" s="370"/>
    </row>
    <row r="17" spans="2:9" ht="21" customHeight="1" thickBot="1" x14ac:dyDescent="0.3">
      <c r="B17" s="541" t="str">
        <f>"CONTRACT PRICE ADJUSTMENT AND RISE &amp; FALL ("&amp;TEXT(I17,"0.0%")&amp;" of Subtotal 2)"</f>
        <v>CONTRACT PRICE ADJUSTMENT AND RISE &amp; FALL (10.0% of Subtotal 2)</v>
      </c>
      <c r="C17" s="542"/>
      <c r="D17" s="543"/>
      <c r="E17" s="346">
        <f>ROUND(E16*$I$17,2)</f>
        <v>3780674.83</v>
      </c>
      <c r="H17" s="60" t="s">
        <v>1415</v>
      </c>
      <c r="I17" s="377">
        <v>0.1</v>
      </c>
    </row>
    <row r="18" spans="2:9" ht="21" customHeight="1" thickBot="1" x14ac:dyDescent="0.3">
      <c r="B18" s="544" t="s">
        <v>1564</v>
      </c>
      <c r="C18" s="545"/>
      <c r="D18" s="546"/>
      <c r="E18" s="347">
        <f>SUM(E16:E17)</f>
        <v>41587423.102499999</v>
      </c>
    </row>
    <row r="19" spans="2:9" ht="21" customHeight="1" thickBot="1" x14ac:dyDescent="0.3">
      <c r="B19" s="541" t="s">
        <v>953</v>
      </c>
      <c r="C19" s="542"/>
      <c r="D19" s="543"/>
      <c r="E19" s="348">
        <f>ROUND(E18*15%,2)</f>
        <v>6238113.4699999997</v>
      </c>
    </row>
    <row r="20" spans="2:9" ht="23.7" customHeight="1" thickBot="1" x14ac:dyDescent="0.3">
      <c r="B20" s="544" t="s">
        <v>954</v>
      </c>
      <c r="C20" s="545"/>
      <c r="D20" s="546"/>
      <c r="E20" s="349">
        <f>SUM(E18:E19)</f>
        <v>47825536.572499998</v>
      </c>
    </row>
    <row r="21" spans="2:9" ht="23.7" customHeight="1" x14ac:dyDescent="0.25">
      <c r="B21" s="378"/>
      <c r="C21" s="379"/>
      <c r="D21" s="379"/>
      <c r="E21" s="380"/>
    </row>
    <row r="22" spans="2:9" ht="66" customHeight="1" x14ac:dyDescent="0.25">
      <c r="B22" s="547" t="s">
        <v>1416</v>
      </c>
      <c r="C22" s="548"/>
      <c r="D22" s="548"/>
      <c r="E22" s="548"/>
    </row>
    <row r="23" spans="2:9" ht="13.5" customHeight="1" x14ac:dyDescent="0.25">
      <c r="B23" s="378"/>
      <c r="C23" s="379"/>
      <c r="D23" s="379"/>
      <c r="E23" s="380"/>
    </row>
    <row r="24" spans="2:9" ht="23.7" customHeight="1" x14ac:dyDescent="0.25">
      <c r="B24" s="549"/>
      <c r="C24" s="549"/>
      <c r="D24" s="549"/>
      <c r="E24" s="549"/>
    </row>
    <row r="25" spans="2:9" ht="57.75" customHeight="1" x14ac:dyDescent="0.25">
      <c r="B25" s="550"/>
      <c r="C25" s="550"/>
      <c r="D25" s="550"/>
      <c r="E25" s="550"/>
    </row>
    <row r="60" spans="19:21" x14ac:dyDescent="0.25">
      <c r="S60" s="56">
        <f>SUM(M60:R60)</f>
        <v>0</v>
      </c>
    </row>
    <row r="61" spans="19:21" x14ac:dyDescent="0.25">
      <c r="S61" s="56">
        <v>0.35</v>
      </c>
      <c r="T61" s="56">
        <f>S61*S$60</f>
        <v>0</v>
      </c>
      <c r="U61" s="56">
        <v>8</v>
      </c>
    </row>
    <row r="62" spans="19:21" x14ac:dyDescent="0.25">
      <c r="S62" s="56">
        <v>0.3</v>
      </c>
      <c r="T62" s="56">
        <f>S62*S$60</f>
        <v>0</v>
      </c>
      <c r="U62" s="56">
        <v>7</v>
      </c>
    </row>
    <row r="63" spans="19:21" x14ac:dyDescent="0.25">
      <c r="S63" s="56">
        <v>0.05</v>
      </c>
      <c r="T63" s="56">
        <f t="shared" ref="T63:T65" si="0">S63*S$60</f>
        <v>0</v>
      </c>
      <c r="U63" s="56">
        <v>1</v>
      </c>
    </row>
    <row r="64" spans="19:21" x14ac:dyDescent="0.25">
      <c r="S64" s="56">
        <v>0.1</v>
      </c>
      <c r="T64" s="56">
        <f t="shared" si="0"/>
        <v>0</v>
      </c>
      <c r="U64" s="56">
        <v>3</v>
      </c>
    </row>
    <row r="65" spans="1:21" x14ac:dyDescent="0.25">
      <c r="S65" s="56">
        <v>0.2</v>
      </c>
      <c r="T65" s="56">
        <f t="shared" si="0"/>
        <v>0</v>
      </c>
      <c r="U65" s="56">
        <v>5</v>
      </c>
    </row>
    <row r="67" spans="1:21" s="145" customFormat="1" x14ac:dyDescent="0.25">
      <c r="A67" s="56"/>
      <c r="B67" s="381"/>
      <c r="C67" s="382"/>
      <c r="D67" s="368"/>
      <c r="E67" s="383"/>
      <c r="F67" s="59"/>
      <c r="G67" s="59"/>
      <c r="H67" s="13"/>
      <c r="J67" s="56"/>
      <c r="K67" s="56"/>
      <c r="L67" s="56"/>
    </row>
    <row r="165" spans="1:12" s="145" customFormat="1" x14ac:dyDescent="0.25">
      <c r="A165" s="56"/>
      <c r="B165" s="381"/>
      <c r="C165" s="382"/>
      <c r="D165" s="368"/>
      <c r="E165" s="383"/>
      <c r="F165" s="59"/>
      <c r="G165" s="59"/>
      <c r="H165" s="13"/>
      <c r="J165" s="56"/>
      <c r="K165" s="56"/>
      <c r="L165" s="56"/>
    </row>
  </sheetData>
  <mergeCells count="18">
    <mergeCell ref="B24:E24"/>
    <mergeCell ref="B25:E25"/>
    <mergeCell ref="B5:E5"/>
    <mergeCell ref="B8:C8"/>
    <mergeCell ref="B9:C9"/>
    <mergeCell ref="B10:C10"/>
    <mergeCell ref="B13:D13"/>
    <mergeCell ref="B12:D12"/>
    <mergeCell ref="B14:D14"/>
    <mergeCell ref="B15:D15"/>
    <mergeCell ref="B16:D16"/>
    <mergeCell ref="B17:D17"/>
    <mergeCell ref="B18:D18"/>
    <mergeCell ref="B19:D19"/>
    <mergeCell ref="B20:D20"/>
    <mergeCell ref="B4:E4"/>
    <mergeCell ref="B6:E6"/>
    <mergeCell ref="B22:E22"/>
  </mergeCells>
  <pageMargins left="0.62992125984251968" right="0.43307086614173229" top="0.62992125984251968" bottom="0.55118110236220474" header="0.51181102362204722" footer="0.31496062992125984"/>
  <pageSetup paperSize="9" scale="90"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D3A0E-E614-4AE4-A0CB-C8B4380D5635}">
  <dimension ref="B1:N52"/>
  <sheetViews>
    <sheetView tabSelected="1" view="pageBreakPreview" zoomScaleNormal="125" zoomScaleSheetLayoutView="100" zoomScalePageLayoutView="125" workbookViewId="0">
      <selection activeCell="O45" sqref="L45:O52"/>
    </sheetView>
  </sheetViews>
  <sheetFormatPr defaultColWidth="6.6640625" defaultRowHeight="13.2" x14ac:dyDescent="0.25"/>
  <cols>
    <col min="1" max="1" width="0.6640625" style="1" customWidth="1"/>
    <col min="2" max="2" width="11.5546875" style="38" customWidth="1"/>
    <col min="3" max="3" width="45.5546875" style="3" customWidth="1"/>
    <col min="4" max="4" width="5.44140625" style="3" customWidth="1"/>
    <col min="5" max="5" width="13.5546875" style="4" customWidth="1"/>
    <col min="6" max="6" width="15.5546875" style="4" customWidth="1"/>
    <col min="7" max="7" width="14" style="1" customWidth="1"/>
    <col min="8" max="8" width="15.5546875" style="5" customWidth="1"/>
    <col min="9" max="9" width="0.6640625" style="5" customWidth="1"/>
    <col min="10" max="10" width="6.6640625" style="1"/>
    <col min="11" max="11" width="12.44140625" style="1" bestFit="1" customWidth="1"/>
    <col min="12" max="12" width="6.6640625" style="1"/>
    <col min="13" max="13" width="11.6640625" style="1" bestFit="1" customWidth="1"/>
    <col min="14" max="14" width="13.33203125" style="1" bestFit="1" customWidth="1"/>
    <col min="15" max="16384" width="6.6640625" style="1"/>
  </cols>
  <sheetData>
    <row r="1" spans="2:9" x14ac:dyDescent="0.25">
      <c r="H1" s="5">
        <f>MAX(H9:H425)</f>
        <v>85710.152499999997</v>
      </c>
    </row>
    <row r="2" spans="2:9" x14ac:dyDescent="0.25">
      <c r="B2" s="2" t="str">
        <f>Client1</f>
        <v>Province of KwaZulu-Natal</v>
      </c>
      <c r="F2" s="510" t="str">
        <f>"Contract No. "&amp;ContractNo</f>
        <v>Contract No. ZNB02215/00000/00/HOD/INF/23/T</v>
      </c>
      <c r="G2" s="510"/>
      <c r="H2" s="510"/>
    </row>
    <row r="3" spans="2:9" x14ac:dyDescent="0.25">
      <c r="B3" s="96" t="str">
        <f>Client2</f>
        <v>Department of Transport</v>
      </c>
    </row>
    <row r="4" spans="2:9" x14ac:dyDescent="0.25">
      <c r="B4" s="84"/>
      <c r="C4" s="84"/>
      <c r="D4" s="84"/>
      <c r="E4" s="85"/>
      <c r="F4" s="85"/>
      <c r="G4" s="86"/>
      <c r="H4" s="98"/>
    </row>
    <row r="5" spans="2:9" x14ac:dyDescent="0.25">
      <c r="B5" s="507" t="s">
        <v>1541</v>
      </c>
      <c r="C5" s="508"/>
      <c r="D5" s="508"/>
      <c r="E5" s="508"/>
      <c r="F5" s="508"/>
      <c r="G5" s="508"/>
      <c r="H5" s="538" t="str">
        <f>"CHAPTER "&amp;B11</f>
        <v>CHAPTER G</v>
      </c>
      <c r="I5" s="6"/>
    </row>
    <row r="6" spans="2:9" ht="7.5" customHeight="1" x14ac:dyDescent="0.25">
      <c r="B6" s="500" t="str">
        <f>ContractDescription</f>
        <v>UPGRADING OF MAIN ROAD P8/3 FROM GRAVEL TO BLACKTOP BETWEEN KM 17.560 AND KM 24.221 IN THE PIETERMARITZBURG REGION</v>
      </c>
      <c r="C6" s="501"/>
      <c r="D6" s="501"/>
      <c r="E6" s="501"/>
      <c r="F6" s="501"/>
      <c r="G6" s="501"/>
      <c r="H6" s="539"/>
      <c r="I6" s="9"/>
    </row>
    <row r="7" spans="2:9" ht="12.75" customHeight="1" x14ac:dyDescent="0.25">
      <c r="B7" s="500"/>
      <c r="C7" s="501"/>
      <c r="D7" s="501"/>
      <c r="E7" s="501"/>
      <c r="F7" s="501"/>
      <c r="G7" s="501"/>
      <c r="H7" s="539"/>
      <c r="I7" s="9"/>
    </row>
    <row r="8" spans="2:9" ht="7.5" customHeight="1" x14ac:dyDescent="0.25">
      <c r="B8" s="502"/>
      <c r="C8" s="503"/>
      <c r="D8" s="503"/>
      <c r="E8" s="503"/>
      <c r="F8" s="503"/>
      <c r="G8" s="503"/>
      <c r="H8" s="540"/>
      <c r="I8" s="9"/>
    </row>
    <row r="9" spans="2:9" s="10" customFormat="1" ht="25.2" customHeight="1" x14ac:dyDescent="0.25">
      <c r="B9" s="11" t="s">
        <v>0</v>
      </c>
      <c r="C9" s="12" t="s">
        <v>1</v>
      </c>
      <c r="D9" s="12" t="s">
        <v>1602</v>
      </c>
      <c r="E9" s="12" t="s">
        <v>2</v>
      </c>
      <c r="F9" s="12" t="s">
        <v>3</v>
      </c>
      <c r="G9" s="12" t="s">
        <v>4</v>
      </c>
      <c r="H9" s="12" t="s">
        <v>5</v>
      </c>
      <c r="I9" s="13"/>
    </row>
    <row r="10" spans="2:9" x14ac:dyDescent="0.25">
      <c r="B10" s="14"/>
      <c r="C10" s="162"/>
      <c r="D10" s="483"/>
      <c r="E10" s="16"/>
      <c r="F10" s="16"/>
      <c r="G10" s="17"/>
      <c r="H10" s="18" t="str">
        <f t="shared" ref="H10:H12" si="0">IF(E10="","",F10*G10)</f>
        <v/>
      </c>
      <c r="I10" s="19"/>
    </row>
    <row r="11" spans="2:9" ht="26.4" x14ac:dyDescent="0.25">
      <c r="B11" s="80" t="s">
        <v>1539</v>
      </c>
      <c r="C11" s="479" t="s">
        <v>1540</v>
      </c>
      <c r="D11" s="21"/>
      <c r="E11" s="23"/>
      <c r="F11" s="23"/>
      <c r="G11" s="43"/>
      <c r="H11" s="18" t="str">
        <f t="shared" si="0"/>
        <v/>
      </c>
      <c r="I11" s="44"/>
    </row>
    <row r="12" spans="2:9" x14ac:dyDescent="0.25">
      <c r="B12" s="53"/>
      <c r="C12" s="162"/>
      <c r="D12" s="15"/>
      <c r="E12" s="23"/>
      <c r="F12" s="23"/>
      <c r="G12" s="43"/>
      <c r="H12" s="18" t="str">
        <f t="shared" si="0"/>
        <v/>
      </c>
      <c r="I12" s="44"/>
    </row>
    <row r="13" spans="2:9" ht="26.4" x14ac:dyDescent="0.25">
      <c r="B13" s="53" t="s">
        <v>1557</v>
      </c>
      <c r="C13" s="162" t="s">
        <v>1558</v>
      </c>
      <c r="D13" s="15"/>
      <c r="E13" s="23"/>
      <c r="F13" s="23"/>
      <c r="G13" s="43"/>
      <c r="H13" s="18"/>
      <c r="I13" s="44"/>
    </row>
    <row r="14" spans="2:9" x14ac:dyDescent="0.25">
      <c r="B14" s="80"/>
      <c r="C14" s="162"/>
      <c r="D14" s="15"/>
      <c r="E14" s="23"/>
      <c r="F14" s="23"/>
      <c r="G14" s="43"/>
      <c r="H14" s="18"/>
      <c r="I14" s="44"/>
    </row>
    <row r="15" spans="2:9" x14ac:dyDescent="0.25">
      <c r="B15" s="53"/>
      <c r="C15" s="1" t="s">
        <v>1542</v>
      </c>
      <c r="D15" s="48"/>
      <c r="E15" s="23" t="s">
        <v>1559</v>
      </c>
      <c r="F15" s="24"/>
      <c r="G15" s="25"/>
      <c r="H15" s="18"/>
      <c r="I15" s="45"/>
    </row>
    <row r="16" spans="2:9" x14ac:dyDescent="0.25">
      <c r="B16" s="53"/>
      <c r="C16" s="1"/>
      <c r="D16" s="48"/>
      <c r="E16" s="23"/>
      <c r="F16" s="24"/>
      <c r="G16" s="25"/>
      <c r="H16" s="18"/>
      <c r="I16" s="45"/>
    </row>
    <row r="17" spans="2:14" x14ac:dyDescent="0.25">
      <c r="B17" s="53"/>
      <c r="C17" s="1" t="s">
        <v>1543</v>
      </c>
      <c r="D17" s="48"/>
      <c r="E17" s="23" t="s">
        <v>1559</v>
      </c>
      <c r="F17" s="24"/>
      <c r="G17" s="43"/>
      <c r="H17" s="18"/>
      <c r="I17" s="44"/>
    </row>
    <row r="18" spans="2:14" x14ac:dyDescent="0.25">
      <c r="B18" s="53"/>
      <c r="C18" s="162"/>
      <c r="D18" s="15"/>
      <c r="E18" s="23"/>
      <c r="F18" s="24"/>
      <c r="G18" s="46"/>
      <c r="H18" s="18"/>
      <c r="I18" s="44"/>
    </row>
    <row r="19" spans="2:14" ht="26.4" x14ac:dyDescent="0.25">
      <c r="B19" s="53"/>
      <c r="C19" s="162" t="s">
        <v>1545</v>
      </c>
      <c r="D19" s="15"/>
      <c r="E19" s="23"/>
      <c r="F19" s="24"/>
      <c r="G19" s="48"/>
      <c r="H19" s="18"/>
    </row>
    <row r="20" spans="2:14" x14ac:dyDescent="0.25">
      <c r="B20" s="53"/>
      <c r="C20" s="162"/>
      <c r="D20" s="15"/>
      <c r="E20" s="23"/>
      <c r="F20" s="24"/>
      <c r="G20" s="48"/>
      <c r="H20" s="18"/>
    </row>
    <row r="21" spans="2:14" x14ac:dyDescent="0.25">
      <c r="B21" s="53"/>
      <c r="C21" s="162" t="s">
        <v>1542</v>
      </c>
      <c r="D21" s="15"/>
      <c r="E21" s="23" t="s">
        <v>1559</v>
      </c>
      <c r="F21" s="24"/>
      <c r="G21" s="41"/>
      <c r="H21" s="18"/>
    </row>
    <row r="22" spans="2:14" x14ac:dyDescent="0.25">
      <c r="B22" s="53"/>
      <c r="C22" s="162"/>
      <c r="D22" s="15"/>
      <c r="E22" s="23"/>
      <c r="F22" s="24"/>
      <c r="G22" s="48"/>
      <c r="H22" s="18"/>
    </row>
    <row r="23" spans="2:14" x14ac:dyDescent="0.25">
      <c r="B23" s="53"/>
      <c r="C23" s="162" t="s">
        <v>1543</v>
      </c>
      <c r="D23" s="15"/>
      <c r="E23" s="23" t="s">
        <v>1559</v>
      </c>
      <c r="F23" s="24"/>
      <c r="G23" s="41"/>
      <c r="H23" s="18"/>
    </row>
    <row r="24" spans="2:14" x14ac:dyDescent="0.25">
      <c r="B24" s="53"/>
      <c r="C24" s="162"/>
      <c r="D24" s="15"/>
      <c r="E24" s="23"/>
      <c r="F24" s="24"/>
      <c r="G24" s="41"/>
      <c r="H24" s="18"/>
    </row>
    <row r="25" spans="2:14" x14ac:dyDescent="0.25">
      <c r="B25" s="53"/>
      <c r="C25" s="162" t="s">
        <v>1544</v>
      </c>
      <c r="D25" s="15"/>
      <c r="E25" s="23"/>
      <c r="F25" s="24"/>
      <c r="G25" s="41"/>
      <c r="H25" s="18"/>
    </row>
    <row r="26" spans="2:14" x14ac:dyDescent="0.25">
      <c r="B26" s="53"/>
      <c r="C26" s="162"/>
      <c r="D26" s="15"/>
      <c r="E26" s="23"/>
      <c r="F26" s="24"/>
      <c r="G26" s="41"/>
      <c r="H26" s="18"/>
    </row>
    <row r="27" spans="2:14" s="39" customFormat="1" x14ac:dyDescent="0.25">
      <c r="B27" s="53"/>
      <c r="C27" s="162" t="s">
        <v>1542</v>
      </c>
      <c r="D27" s="15"/>
      <c r="E27" s="23" t="s">
        <v>1559</v>
      </c>
      <c r="F27" s="27"/>
      <c r="G27" s="41"/>
      <c r="H27" s="18"/>
      <c r="I27" s="19"/>
      <c r="J27" s="1"/>
    </row>
    <row r="28" spans="2:14" x14ac:dyDescent="0.25">
      <c r="B28" s="53"/>
      <c r="C28" s="162"/>
      <c r="D28" s="15"/>
      <c r="E28" s="23"/>
      <c r="F28" s="24"/>
      <c r="G28" s="41"/>
      <c r="H28" s="18"/>
      <c r="I28" s="45"/>
    </row>
    <row r="29" spans="2:14" x14ac:dyDescent="0.25">
      <c r="B29" s="53"/>
      <c r="C29" s="62" t="s">
        <v>1560</v>
      </c>
      <c r="D29" s="17"/>
      <c r="E29" s="23" t="s">
        <v>1559</v>
      </c>
      <c r="F29" s="24"/>
      <c r="G29" s="41"/>
      <c r="H29" s="18"/>
      <c r="I29" s="45"/>
    </row>
    <row r="30" spans="2:14" x14ac:dyDescent="0.25">
      <c r="B30" s="53"/>
      <c r="C30" s="162"/>
      <c r="D30" s="15"/>
      <c r="E30" s="23"/>
      <c r="F30" s="24"/>
      <c r="G30" s="41"/>
      <c r="H30" s="18"/>
      <c r="I30" s="44"/>
    </row>
    <row r="31" spans="2:14" x14ac:dyDescent="0.25">
      <c r="B31" s="53"/>
      <c r="C31" s="162" t="s">
        <v>1561</v>
      </c>
      <c r="D31" s="15"/>
      <c r="E31" s="23" t="s">
        <v>1559</v>
      </c>
      <c r="F31" s="24"/>
      <c r="G31" s="41"/>
      <c r="H31" s="18"/>
      <c r="I31" s="44"/>
      <c r="K31" s="475"/>
      <c r="N31" s="475"/>
    </row>
    <row r="32" spans="2:14" x14ac:dyDescent="0.25">
      <c r="B32" s="53"/>
      <c r="C32" s="162"/>
      <c r="D32" s="15"/>
      <c r="E32" s="23"/>
      <c r="F32" s="472"/>
      <c r="G32" s="46"/>
      <c r="H32" s="18"/>
      <c r="I32" s="44"/>
    </row>
    <row r="33" spans="2:9" x14ac:dyDescent="0.25">
      <c r="B33" s="53"/>
      <c r="C33" s="162" t="s">
        <v>1546</v>
      </c>
      <c r="D33" s="15"/>
      <c r="E33" s="23"/>
      <c r="F33" s="472"/>
      <c r="G33" s="46"/>
      <c r="H33" s="18"/>
      <c r="I33" s="44"/>
    </row>
    <row r="34" spans="2:9" x14ac:dyDescent="0.25">
      <c r="B34" s="53"/>
      <c r="C34" s="162"/>
      <c r="D34" s="15"/>
      <c r="E34" s="23"/>
      <c r="F34" s="473"/>
      <c r="G34" s="43"/>
      <c r="H34" s="18"/>
      <c r="I34" s="44"/>
    </row>
    <row r="35" spans="2:9" x14ac:dyDescent="0.25">
      <c r="B35" s="53"/>
      <c r="C35" s="162" t="s">
        <v>1542</v>
      </c>
      <c r="D35" s="15"/>
      <c r="E35" s="23" t="s">
        <v>1559</v>
      </c>
      <c r="F35" s="473"/>
      <c r="G35" s="43"/>
      <c r="H35" s="18"/>
      <c r="I35" s="44"/>
    </row>
    <row r="36" spans="2:9" x14ac:dyDescent="0.25">
      <c r="B36" s="53"/>
      <c r="C36" s="162"/>
      <c r="D36" s="15"/>
      <c r="E36" s="23"/>
      <c r="F36" s="473"/>
      <c r="G36" s="41"/>
      <c r="H36" s="18"/>
      <c r="I36" s="44"/>
    </row>
    <row r="37" spans="2:9" x14ac:dyDescent="0.25">
      <c r="B37" s="53"/>
      <c r="C37" s="162" t="s">
        <v>1560</v>
      </c>
      <c r="D37" s="15"/>
      <c r="E37" s="23" t="s">
        <v>1559</v>
      </c>
      <c r="F37" s="472"/>
      <c r="G37" s="43"/>
      <c r="H37" s="18"/>
      <c r="I37" s="44"/>
    </row>
    <row r="38" spans="2:9" x14ac:dyDescent="0.25">
      <c r="B38" s="53"/>
      <c r="C38" s="162"/>
      <c r="D38" s="15"/>
      <c r="E38" s="23"/>
      <c r="F38" s="23"/>
      <c r="G38" s="41"/>
      <c r="H38" s="18"/>
      <c r="I38" s="44"/>
    </row>
    <row r="39" spans="2:9" x14ac:dyDescent="0.25">
      <c r="B39" s="53"/>
      <c r="C39" s="162" t="s">
        <v>1561</v>
      </c>
      <c r="D39" s="15"/>
      <c r="E39" s="23" t="s">
        <v>1559</v>
      </c>
      <c r="F39" s="23"/>
      <c r="G39" s="41"/>
      <c r="H39" s="18"/>
      <c r="I39" s="44"/>
    </row>
    <row r="40" spans="2:9" x14ac:dyDescent="0.25">
      <c r="B40" s="53"/>
      <c r="C40" s="162"/>
      <c r="D40" s="15"/>
      <c r="E40" s="23"/>
      <c r="F40" s="23"/>
      <c r="G40" s="41"/>
      <c r="H40" s="18"/>
      <c r="I40" s="44"/>
    </row>
    <row r="41" spans="2:9" ht="26.4" x14ac:dyDescent="0.25">
      <c r="B41" s="53"/>
      <c r="C41" s="162" t="s">
        <v>1547</v>
      </c>
      <c r="D41" s="15"/>
      <c r="E41" s="23" t="s">
        <v>1598</v>
      </c>
      <c r="F41" s="23"/>
      <c r="G41" s="41"/>
      <c r="H41" s="18"/>
      <c r="I41" s="44"/>
    </row>
    <row r="42" spans="2:9" x14ac:dyDescent="0.25">
      <c r="B42" s="53"/>
      <c r="C42" s="162"/>
      <c r="D42" s="15"/>
      <c r="E42" s="23"/>
      <c r="F42" s="23"/>
      <c r="G42" s="41"/>
      <c r="H42" s="18"/>
      <c r="I42" s="44"/>
    </row>
    <row r="43" spans="2:9" x14ac:dyDescent="0.25">
      <c r="B43" s="53"/>
      <c r="C43" s="162"/>
      <c r="D43" s="15"/>
      <c r="E43" s="23"/>
      <c r="F43" s="23"/>
      <c r="G43" s="41"/>
      <c r="H43" s="18"/>
      <c r="I43" s="44"/>
    </row>
    <row r="44" spans="2:9" x14ac:dyDescent="0.25">
      <c r="B44" s="53"/>
      <c r="C44" s="162"/>
      <c r="D44" s="15"/>
      <c r="E44" s="23"/>
      <c r="F44" s="23"/>
      <c r="G44" s="41"/>
      <c r="H44" s="18"/>
      <c r="I44" s="44"/>
    </row>
    <row r="45" spans="2:9" x14ac:dyDescent="0.25">
      <c r="B45" s="53"/>
      <c r="C45" s="162"/>
      <c r="D45" s="15"/>
      <c r="E45" s="23"/>
      <c r="F45" s="23"/>
      <c r="G45" s="41"/>
      <c r="H45" s="18"/>
      <c r="I45" s="44"/>
    </row>
    <row r="46" spans="2:9" x14ac:dyDescent="0.25">
      <c r="B46" s="53"/>
      <c r="C46" s="162"/>
      <c r="D46" s="15"/>
      <c r="E46" s="23"/>
      <c r="F46" s="23"/>
      <c r="G46" s="41"/>
      <c r="H46" s="18"/>
      <c r="I46" s="44"/>
    </row>
    <row r="47" spans="2:9" x14ac:dyDescent="0.25">
      <c r="B47" s="53"/>
      <c r="C47" s="162"/>
      <c r="D47" s="15"/>
      <c r="E47" s="23"/>
      <c r="F47" s="23"/>
      <c r="G47" s="41"/>
      <c r="H47" s="18"/>
      <c r="I47" s="44"/>
    </row>
    <row r="48" spans="2:9" x14ac:dyDescent="0.25">
      <c r="B48" s="53"/>
      <c r="C48" s="162"/>
      <c r="D48" s="15"/>
      <c r="E48" s="23"/>
      <c r="F48" s="23"/>
      <c r="G48" s="41"/>
      <c r="H48" s="18"/>
      <c r="I48" s="44"/>
    </row>
    <row r="49" spans="2:9" x14ac:dyDescent="0.25">
      <c r="B49" s="53"/>
      <c r="C49" s="162"/>
      <c r="D49" s="15"/>
      <c r="E49" s="23"/>
      <c r="F49" s="23"/>
      <c r="G49" s="41"/>
      <c r="H49" s="18"/>
      <c r="I49" s="44"/>
    </row>
    <row r="50" spans="2:9" x14ac:dyDescent="0.25">
      <c r="B50" s="53"/>
      <c r="C50" s="162"/>
      <c r="D50" s="15"/>
      <c r="E50" s="23"/>
      <c r="F50" s="23"/>
      <c r="G50" s="41"/>
      <c r="H50" s="18"/>
      <c r="I50" s="44"/>
    </row>
    <row r="51" spans="2:9" x14ac:dyDescent="0.25">
      <c r="B51" s="53"/>
      <c r="C51" s="162"/>
      <c r="D51" s="484"/>
      <c r="E51" s="23"/>
      <c r="F51" s="23"/>
      <c r="G51" s="41"/>
      <c r="H51" s="18"/>
      <c r="I51" s="44"/>
    </row>
    <row r="52" spans="2:9" s="31" customFormat="1" ht="19.5" customHeight="1" x14ac:dyDescent="0.25">
      <c r="B52" s="151" t="str">
        <f>$B$11</f>
        <v>G</v>
      </c>
      <c r="C52" s="558" t="s">
        <v>1562</v>
      </c>
      <c r="D52" s="558"/>
      <c r="E52" s="558"/>
      <c r="F52" s="558"/>
      <c r="G52" s="558"/>
      <c r="H52" s="36">
        <f>Summary1!E13</f>
        <v>85710.152499999997</v>
      </c>
      <c r="I52" s="37"/>
    </row>
  </sheetData>
  <mergeCells count="5">
    <mergeCell ref="F2:H2"/>
    <mergeCell ref="B5:G5"/>
    <mergeCell ref="H5:H8"/>
    <mergeCell ref="B6:G8"/>
    <mergeCell ref="C52:G52"/>
  </mergeCells>
  <pageMargins left="0.62992125984251968" right="0.43307086614173229" top="0.62992125984251968" bottom="0.55118110236220474" header="0.51181102362204722" footer="0.31496062992125984"/>
  <pageSetup paperSize="9" scale="76"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C3641-295A-405D-8BD2-96A7D25A79AB}">
  <sheetPr>
    <tabColor theme="9" tint="-0.249977111117893"/>
    <pageSetUpPr fitToPage="1"/>
  </sheetPr>
  <dimension ref="B1:W90"/>
  <sheetViews>
    <sheetView showGridLines="0" view="pageBreakPreview" topLeftCell="A52" zoomScale="80" zoomScaleNormal="100" zoomScaleSheetLayoutView="80" zoomScalePageLayoutView="150" workbookViewId="0">
      <selection activeCell="J22" sqref="J22"/>
    </sheetView>
  </sheetViews>
  <sheetFormatPr defaultColWidth="8.6640625" defaultRowHeight="13.2" x14ac:dyDescent="0.25"/>
  <cols>
    <col min="1" max="1" width="2" style="56" customWidth="1"/>
    <col min="2" max="2" width="16.44140625" style="59" customWidth="1"/>
    <col min="3" max="3" width="48.6640625" style="57" customWidth="1"/>
    <col min="4" max="4" width="17.6640625" style="144" customWidth="1"/>
    <col min="5" max="5" width="1.44140625" style="56" customWidth="1"/>
    <col min="6" max="6" width="9.5546875" style="56" customWidth="1"/>
    <col min="7" max="7" width="21" style="144" customWidth="1"/>
    <col min="8" max="8" width="9.5546875" style="56" customWidth="1"/>
    <col min="9" max="9" width="4.5546875" style="145" customWidth="1"/>
    <col min="10" max="10" width="17.6640625" style="56" hidden="1" customWidth="1"/>
    <col min="11" max="12" width="8.6640625" style="56" hidden="1" customWidth="1"/>
    <col min="13" max="13" width="12" style="56" customWidth="1"/>
    <col min="14" max="14" width="18" style="56" customWidth="1"/>
    <col min="15" max="18" width="12" style="56" customWidth="1"/>
    <col min="19" max="22" width="8.6640625" style="56"/>
    <col min="23" max="23" width="12.6640625" style="56" bestFit="1" customWidth="1"/>
    <col min="24" max="16384" width="8.6640625" style="56"/>
  </cols>
  <sheetData>
    <row r="1" spans="2:18" x14ac:dyDescent="0.25">
      <c r="B1" s="2" t="s">
        <v>9</v>
      </c>
      <c r="C1" s="3"/>
      <c r="D1" s="1"/>
      <c r="E1" s="4"/>
      <c r="K1" s="6"/>
      <c r="L1" s="6" t="str">
        <f>"Contract No. "&amp;ContractNo</f>
        <v>Contract No. ZNB02215/00000/00/HOD/INF/23/T</v>
      </c>
    </row>
    <row r="2" spans="2:18" x14ac:dyDescent="0.25">
      <c r="B2" s="96" t="s">
        <v>10</v>
      </c>
      <c r="C2" s="3"/>
      <c r="D2" s="4"/>
      <c r="E2" s="4"/>
      <c r="F2" s="4"/>
    </row>
    <row r="3" spans="2:18" s="1" customFormat="1" ht="13.5" customHeight="1" x14ac:dyDescent="0.25">
      <c r="B3" s="237"/>
      <c r="C3" s="3"/>
      <c r="D3" s="4"/>
      <c r="E3" s="4"/>
      <c r="F3" s="4"/>
      <c r="G3" s="4"/>
      <c r="H3" s="4"/>
      <c r="I3" s="238"/>
      <c r="K3" s="5"/>
      <c r="L3" s="5"/>
    </row>
    <row r="4" spans="2:18" ht="12.75" customHeight="1" thickBot="1" x14ac:dyDescent="0.3">
      <c r="B4" s="31" t="s">
        <v>1363</v>
      </c>
      <c r="C4" s="56"/>
      <c r="D4" s="56"/>
      <c r="G4" s="56"/>
    </row>
    <row r="5" spans="2:18" ht="25.5" customHeight="1" thickBot="1" x14ac:dyDescent="0.3">
      <c r="B5" s="2" t="str">
        <f>ContractDescription</f>
        <v>UPGRADING OF MAIN ROAD P8/3 FROM GRAVEL TO BLACKTOP BETWEEN KM 17.560 AND KM 24.221 IN THE PIETERMARITZBURG REGION</v>
      </c>
      <c r="C5" s="2"/>
      <c r="D5" s="2"/>
      <c r="G5" s="2"/>
      <c r="M5" s="239" t="s">
        <v>1364</v>
      </c>
      <c r="N5" s="239" t="s">
        <v>1365</v>
      </c>
      <c r="O5" s="239" t="s">
        <v>1366</v>
      </c>
      <c r="P5" s="239" t="s">
        <v>1367</v>
      </c>
      <c r="Q5" s="239" t="s">
        <v>1368</v>
      </c>
      <c r="R5" s="240" t="s">
        <v>1369</v>
      </c>
    </row>
    <row r="6" spans="2:18" ht="5.25" customHeight="1" thickBot="1" x14ac:dyDescent="0.3">
      <c r="B6" s="528"/>
      <c r="C6" s="528"/>
      <c r="D6" s="528"/>
      <c r="G6" s="56"/>
      <c r="M6" s="241"/>
      <c r="R6" s="242"/>
    </row>
    <row r="7" spans="2:18" s="13" customFormat="1" ht="27" customHeight="1" thickBot="1" x14ac:dyDescent="0.3">
      <c r="B7" s="243" t="s">
        <v>1370</v>
      </c>
      <c r="C7" s="244" t="s">
        <v>1</v>
      </c>
      <c r="D7" s="245" t="s">
        <v>5</v>
      </c>
      <c r="F7" s="246" t="s">
        <v>1371</v>
      </c>
      <c r="G7" s="247" t="s">
        <v>1372</v>
      </c>
      <c r="H7" s="248" t="s">
        <v>36</v>
      </c>
      <c r="I7" s="249"/>
      <c r="J7" s="239" t="s">
        <v>1373</v>
      </c>
      <c r="K7" s="250" t="s">
        <v>1374</v>
      </c>
      <c r="L7" s="251" t="s">
        <v>1375</v>
      </c>
      <c r="M7" s="239" t="s">
        <v>1376</v>
      </c>
      <c r="N7" s="239" t="s">
        <v>1377</v>
      </c>
      <c r="O7" s="239" t="s">
        <v>1378</v>
      </c>
      <c r="P7" s="239" t="s">
        <v>1379</v>
      </c>
      <c r="Q7" s="239" t="s">
        <v>1380</v>
      </c>
      <c r="R7" s="240" t="s">
        <v>1381</v>
      </c>
    </row>
    <row r="8" spans="2:18" ht="21" customHeight="1" x14ac:dyDescent="0.25">
      <c r="B8" s="252" t="str">
        <f>'Summary Checking'!B9</f>
        <v>C1.2</v>
      </c>
      <c r="C8" s="317" t="str">
        <f>'Summary Checking'!C9</f>
        <v>GENERAL REQUIREMENTS AND PAYMENT</v>
      </c>
      <c r="D8" s="253">
        <f>'Summary Checking'!G9</f>
        <v>700000</v>
      </c>
      <c r="F8" s="254"/>
      <c r="G8" s="255">
        <f t="shared" ref="G8:G15" si="0">D8*F8</f>
        <v>0</v>
      </c>
      <c r="H8" s="256">
        <f t="shared" ref="H8:H22" si="1">G8/$D$63</f>
        <v>0</v>
      </c>
      <c r="I8" s="257"/>
      <c r="J8" s="258">
        <f>'C1.2'!L$2</f>
        <v>0</v>
      </c>
      <c r="K8" s="259">
        <f>IF(SUM(D8)=0,"",J8/D8)</f>
        <v>0</v>
      </c>
      <c r="L8" s="260">
        <v>0</v>
      </c>
      <c r="M8" s="261"/>
      <c r="N8" s="261"/>
      <c r="O8" s="261"/>
      <c r="P8" s="261"/>
      <c r="Q8" s="261"/>
      <c r="R8" s="262"/>
    </row>
    <row r="9" spans="2:18" ht="21" customHeight="1" x14ac:dyDescent="0.25">
      <c r="B9" s="359" t="str">
        <f>'C1.2 CPG'!B11</f>
        <v>C1.2 CPG</v>
      </c>
      <c r="C9" s="317" t="str">
        <f>'C1.2 CPG'!C11</f>
        <v>GENERAL REQUIREMENTS AND PAYMENT</v>
      </c>
      <c r="D9" s="253">
        <f>'C1.2 CPG'!H1</f>
        <v>296100</v>
      </c>
      <c r="F9" s="254">
        <v>1</v>
      </c>
      <c r="G9" s="267">
        <f t="shared" ref="G9" si="2">D9*F9</f>
        <v>296100</v>
      </c>
      <c r="H9" s="268">
        <f t="shared" si="1"/>
        <v>8.3937958537851787E-3</v>
      </c>
      <c r="I9" s="257"/>
      <c r="J9" s="258"/>
      <c r="K9" s="259"/>
      <c r="L9" s="260"/>
      <c r="M9" s="258"/>
      <c r="N9" s="258"/>
      <c r="O9" s="258"/>
      <c r="P9" s="258"/>
      <c r="Q9" s="258"/>
      <c r="R9" s="287"/>
    </row>
    <row r="10" spans="2:18" ht="21" customHeight="1" x14ac:dyDescent="0.25">
      <c r="B10" s="252" t="str">
        <f>'Summary Checking'!B10</f>
        <v>C1.3</v>
      </c>
      <c r="C10" s="317" t="str">
        <f>'Summary Checking'!C10</f>
        <v>CONTRACTOR'S SITE ESTABLISHMENT AND GENERAL OBLIGATIONS</v>
      </c>
      <c r="D10" s="253">
        <f>'Summary Checking'!G10</f>
        <v>0</v>
      </c>
      <c r="F10" s="266"/>
      <c r="G10" s="267">
        <f t="shared" si="0"/>
        <v>0</v>
      </c>
      <c r="H10" s="268">
        <f t="shared" si="1"/>
        <v>0</v>
      </c>
      <c r="I10" s="257"/>
      <c r="J10" s="258">
        <f>'C1.3'!L$2</f>
        <v>1274.24</v>
      </c>
      <c r="K10" s="270" t="str">
        <f>IF(SUM(D10)=0,"",J10/D10)</f>
        <v/>
      </c>
      <c r="L10" s="271">
        <v>1.3737763554664897E-5</v>
      </c>
      <c r="M10" s="269"/>
      <c r="N10" s="269"/>
      <c r="O10" s="269"/>
      <c r="P10" s="269"/>
      <c r="Q10" s="269"/>
      <c r="R10" s="272"/>
    </row>
    <row r="11" spans="2:18" ht="21" customHeight="1" x14ac:dyDescent="0.25">
      <c r="B11" s="359" t="str">
        <f>'C1.3 CPG'!B11</f>
        <v>C1.3 CPG</v>
      </c>
      <c r="C11" s="317" t="str">
        <f>'C1.3 CPG'!C11</f>
        <v>CONTRACTOR'S SITE ESTABLISHMENT AND GENERAL OBLIGATIONS</v>
      </c>
      <c r="D11" s="253">
        <f>'C1.3 CPG'!H1</f>
        <v>2205000</v>
      </c>
      <c r="F11" s="266">
        <v>1</v>
      </c>
      <c r="G11" s="273">
        <f t="shared" ref="G11" si="3">D11*F11</f>
        <v>2205000</v>
      </c>
      <c r="H11" s="274">
        <f t="shared" si="1"/>
        <v>6.2506990400527929E-2</v>
      </c>
      <c r="I11" s="257"/>
      <c r="J11" s="258"/>
      <c r="K11" s="270"/>
      <c r="L11" s="271"/>
      <c r="M11" s="269"/>
      <c r="N11" s="269"/>
      <c r="O11" s="269"/>
      <c r="P11" s="269"/>
      <c r="Q11" s="269"/>
      <c r="R11" s="272"/>
    </row>
    <row r="12" spans="2:18" x14ac:dyDescent="0.25">
      <c r="B12" s="252" t="str">
        <f>'Summary Checking'!B11</f>
        <v>C1.4</v>
      </c>
      <c r="C12" s="317" t="str">
        <f>'Summary Checking'!C11</f>
        <v>FACILITIES FOR THE ENGINEER</v>
      </c>
      <c r="D12" s="253">
        <f>'Summary Checking'!G11</f>
        <v>200000</v>
      </c>
      <c r="F12" s="266"/>
      <c r="G12" s="273">
        <f t="shared" si="0"/>
        <v>0</v>
      </c>
      <c r="H12" s="274">
        <f t="shared" si="1"/>
        <v>0</v>
      </c>
      <c r="I12" s="257"/>
      <c r="J12" s="258">
        <f>'C1.4'!L$2</f>
        <v>637.12</v>
      </c>
      <c r="K12" s="276">
        <f>IF(SUM(D12)=0,"",J12/D12)</f>
        <v>3.1856000000000002E-3</v>
      </c>
      <c r="L12" s="277">
        <v>6.8688817773324484E-6</v>
      </c>
      <c r="M12" s="275"/>
      <c r="N12" s="275"/>
      <c r="O12" s="275"/>
      <c r="P12" s="275"/>
      <c r="Q12" s="275"/>
      <c r="R12" s="278"/>
    </row>
    <row r="13" spans="2:18" ht="21" customHeight="1" x14ac:dyDescent="0.25">
      <c r="B13" s="252" t="str">
        <f>'Summary Checking'!B12</f>
        <v>C1.5</v>
      </c>
      <c r="C13" s="317" t="str">
        <f>'Summary Checking'!C12</f>
        <v>ACCOMMODATION OF TRAFFIC</v>
      </c>
      <c r="D13" s="253">
        <f>'Summary Checking'!G12</f>
        <v>25000</v>
      </c>
      <c r="F13" s="266"/>
      <c r="G13" s="267">
        <f t="shared" si="0"/>
        <v>0</v>
      </c>
      <c r="H13" s="268">
        <f t="shared" si="1"/>
        <v>0</v>
      </c>
      <c r="I13" s="257"/>
      <c r="J13" s="258">
        <f>'C1.5'!L$2</f>
        <v>2525543.6800000002</v>
      </c>
      <c r="K13" s="270">
        <f>IF(SUM(D13)=0,"",J13/D13)</f>
        <v>101.02174720000001</v>
      </c>
      <c r="L13" s="271">
        <v>2.7353642838650941E-2</v>
      </c>
      <c r="M13" s="269"/>
      <c r="N13" s="269"/>
      <c r="O13" s="269"/>
      <c r="P13" s="269"/>
      <c r="Q13" s="269"/>
      <c r="R13" s="272"/>
    </row>
    <row r="14" spans="2:18" ht="21" customHeight="1" x14ac:dyDescent="0.25">
      <c r="B14" s="252" t="str">
        <f>'Summary Checking'!B13</f>
        <v>C1.6</v>
      </c>
      <c r="C14" s="317" t="str">
        <f>'Summary Checking'!C13</f>
        <v>CLEARING AND GRUBBING</v>
      </c>
      <c r="D14" s="253">
        <f>'Summary Checking'!G13</f>
        <v>274475</v>
      </c>
      <c r="F14" s="266">
        <v>1</v>
      </c>
      <c r="G14" s="267">
        <f t="shared" si="0"/>
        <v>274475</v>
      </c>
      <c r="H14" s="268">
        <f t="shared" si="1"/>
        <v>7.7807737823967814E-3</v>
      </c>
      <c r="I14" s="257"/>
      <c r="J14" s="258">
        <f>'C1.6'!L$2</f>
        <v>71191.199999999997</v>
      </c>
      <c r="K14" s="270">
        <f>IF(SUM(D14)=0,"",J14/D14)</f>
        <v>0.25937225612533016</v>
      </c>
      <c r="L14" s="271">
        <v>7.6752250186217636E-4</v>
      </c>
      <c r="M14" s="269">
        <v>1</v>
      </c>
      <c r="N14" s="269"/>
      <c r="O14" s="269"/>
      <c r="P14" s="269"/>
      <c r="Q14" s="269"/>
      <c r="R14" s="272"/>
    </row>
    <row r="15" spans="2:18" ht="21" customHeight="1" x14ac:dyDescent="0.25">
      <c r="B15" s="252" t="str">
        <f>'Summary Checking'!B14</f>
        <v>C1.7</v>
      </c>
      <c r="C15" s="317" t="str">
        <f>'Summary Checking'!C14</f>
        <v>LOADING AND HAULING</v>
      </c>
      <c r="D15" s="253">
        <f>'Summary Checking'!G14</f>
        <v>0</v>
      </c>
      <c r="F15" s="266"/>
      <c r="G15" s="267">
        <f t="shared" si="0"/>
        <v>0</v>
      </c>
      <c r="H15" s="268">
        <f t="shared" si="1"/>
        <v>0</v>
      </c>
      <c r="I15" s="257"/>
      <c r="J15" s="258">
        <f>'C1.7'!L$2</f>
        <v>63712</v>
      </c>
      <c r="K15" s="270" t="str">
        <f t="shared" ref="K15:K22" si="4">IF(SUM(D15)=0,"",J15/D15)</f>
        <v/>
      </c>
      <c r="L15" s="271">
        <v>7.9146526405940746E-4</v>
      </c>
      <c r="M15" s="269"/>
      <c r="N15" s="269"/>
      <c r="O15" s="269"/>
      <c r="P15" s="269"/>
      <c r="Q15" s="269"/>
      <c r="R15" s="272"/>
    </row>
    <row r="16" spans="2:18" ht="21" customHeight="1" x14ac:dyDescent="0.25">
      <c r="B16" s="252" t="str">
        <f>'Summary Checking'!B15</f>
        <v>C2.1</v>
      </c>
      <c r="C16" s="317" t="str">
        <f>'Summary Checking'!C15</f>
        <v>GENERAL REQUIREMENTS AND TRENCHING FOR SERVICES</v>
      </c>
      <c r="D16" s="253">
        <f>'Summary Checking'!G15</f>
        <v>20000</v>
      </c>
      <c r="F16" s="266"/>
      <c r="G16" s="267">
        <f t="shared" ref="G16:G52" si="5">D16*F16</f>
        <v>0</v>
      </c>
      <c r="H16" s="268">
        <f t="shared" si="1"/>
        <v>0</v>
      </c>
      <c r="I16" s="257"/>
      <c r="J16" s="258">
        <f>'C2.1'!L$2</f>
        <v>68171.840000000011</v>
      </c>
      <c r="K16" s="270">
        <f t="shared" si="4"/>
        <v>3.4085920000000005</v>
      </c>
      <c r="L16" s="271">
        <v>7.3497035017457211E-4</v>
      </c>
      <c r="M16" s="269"/>
      <c r="N16" s="269"/>
      <c r="O16" s="269"/>
      <c r="P16" s="269"/>
      <c r="Q16" s="269"/>
      <c r="R16" s="272"/>
    </row>
    <row r="17" spans="2:18" ht="21" customHeight="1" x14ac:dyDescent="0.25">
      <c r="B17" s="252" t="str">
        <f>'Summary Checking'!B16</f>
        <v>C2.2</v>
      </c>
      <c r="C17" s="317" t="str">
        <f>'Summary Checking'!C16</f>
        <v>DRY SERVICES</v>
      </c>
      <c r="D17" s="253">
        <f>'Summary Checking'!G16</f>
        <v>0</v>
      </c>
      <c r="F17" s="266"/>
      <c r="G17" s="267">
        <f t="shared" si="5"/>
        <v>0</v>
      </c>
      <c r="H17" s="268">
        <f t="shared" si="1"/>
        <v>0</v>
      </c>
      <c r="I17" s="257"/>
      <c r="J17" s="258">
        <f>'C2.2'!L$2</f>
        <v>7893</v>
      </c>
      <c r="K17" s="270" t="str">
        <f t="shared" si="4"/>
        <v/>
      </c>
      <c r="L17" s="271">
        <v>8.6982261080358791E-5</v>
      </c>
      <c r="M17" s="269"/>
      <c r="N17" s="269"/>
      <c r="O17" s="269"/>
      <c r="P17" s="269"/>
      <c r="Q17" s="269"/>
      <c r="R17" s="272"/>
    </row>
    <row r="18" spans="2:18" ht="28.5" customHeight="1" x14ac:dyDescent="0.25">
      <c r="B18" s="252" t="str">
        <f>'Summary Checking'!B17</f>
        <v>C3.1</v>
      </c>
      <c r="C18" s="317" t="str">
        <f>'Summary Checking'!C17</f>
        <v>DRAINS</v>
      </c>
      <c r="D18" s="253">
        <f>'Summary Checking'!G17</f>
        <v>2457574</v>
      </c>
      <c r="F18" s="266">
        <v>1</v>
      </c>
      <c r="G18" s="267">
        <f t="shared" si="5"/>
        <v>2457574</v>
      </c>
      <c r="H18" s="268">
        <f t="shared" si="1"/>
        <v>6.9666918107295694E-2</v>
      </c>
      <c r="I18" s="257"/>
      <c r="J18" s="258">
        <f>'C3.1'!L$2</f>
        <v>402000</v>
      </c>
      <c r="K18" s="270">
        <f t="shared" si="4"/>
        <v>0.1635759492898281</v>
      </c>
      <c r="L18" s="271">
        <v>4.3340194539296271E-3</v>
      </c>
      <c r="M18" s="279"/>
      <c r="N18" s="279">
        <v>3</v>
      </c>
      <c r="O18" s="279"/>
      <c r="P18" s="279"/>
      <c r="Q18" s="279"/>
      <c r="R18" s="280"/>
    </row>
    <row r="19" spans="2:18" ht="28.5" customHeight="1" x14ac:dyDescent="0.25">
      <c r="B19" s="252" t="str">
        <f>'Summary Checking'!B18</f>
        <v>C3.2</v>
      </c>
      <c r="C19" s="317" t="str">
        <f>'Summary Checking'!C18</f>
        <v>CULVERTS</v>
      </c>
      <c r="D19" s="253">
        <f>'Summary Checking'!G18</f>
        <v>2885239.5</v>
      </c>
      <c r="F19" s="266">
        <v>1</v>
      </c>
      <c r="G19" s="267">
        <f t="shared" si="5"/>
        <v>2885239.5</v>
      </c>
      <c r="H19" s="268">
        <f t="shared" si="1"/>
        <v>8.1790311895566445E-2</v>
      </c>
      <c r="I19" s="257"/>
      <c r="J19" s="258">
        <f>'C3.2'!L$2</f>
        <v>190483.6</v>
      </c>
      <c r="K19" s="270">
        <f>IF(SUM(D19)=0,"",J19/D19)</f>
        <v>6.6020030572851926E-2</v>
      </c>
      <c r="L19" s="271">
        <v>2.0524234275515162E-3</v>
      </c>
      <c r="M19" s="279"/>
      <c r="N19" s="279"/>
      <c r="O19" s="279"/>
      <c r="P19" s="279">
        <v>1</v>
      </c>
      <c r="Q19" s="279"/>
      <c r="R19" s="280"/>
    </row>
    <row r="20" spans="2:18" ht="21" customHeight="1" x14ac:dyDescent="0.25">
      <c r="B20" s="252" t="str">
        <f>'Summary Checking'!B19</f>
        <v>C3.3</v>
      </c>
      <c r="C20" s="317" t="str">
        <f>'Summary Checking'!C19</f>
        <v>CONCRETE KERBING AND CHANNELING, ASPHALT BERMS, CHUTES, DOWNPIPES, AS WELL AS CONCRETE, STONE PITCHED AND GABION LININGS FOR OPEN DRAINS</v>
      </c>
      <c r="D20" s="253">
        <f>'Summary Checking'!G19</f>
        <v>8370408</v>
      </c>
      <c r="F20" s="266">
        <v>1</v>
      </c>
      <c r="G20" s="267">
        <f t="shared" si="5"/>
        <v>8370408</v>
      </c>
      <c r="H20" s="268">
        <f t="shared" si="1"/>
        <v>0.23728299886825496</v>
      </c>
      <c r="I20" s="257"/>
      <c r="J20" s="258">
        <f>'C3.3'!L$2</f>
        <v>322799.2</v>
      </c>
      <c r="K20" s="270">
        <f t="shared" si="4"/>
        <v>3.8564332825831195E-2</v>
      </c>
      <c r="L20" s="271">
        <v>3.4795729091588617E-3</v>
      </c>
      <c r="M20" s="269"/>
      <c r="N20" s="269">
        <v>2</v>
      </c>
      <c r="O20" s="269">
        <v>3</v>
      </c>
      <c r="P20" s="269"/>
      <c r="Q20" s="269"/>
      <c r="R20" s="272"/>
    </row>
    <row r="21" spans="2:18" ht="21" customHeight="1" x14ac:dyDescent="0.25">
      <c r="B21" s="252" t="str">
        <f>'Summary Checking'!B20</f>
        <v>C4.1</v>
      </c>
      <c r="C21" s="317" t="str">
        <f>'Summary Checking'!C20</f>
        <v>BORROW MATERIALS</v>
      </c>
      <c r="D21" s="253">
        <f>'Summary Checking'!G20</f>
        <v>0</v>
      </c>
      <c r="F21" s="266"/>
      <c r="G21" s="267">
        <f t="shared" si="5"/>
        <v>0</v>
      </c>
      <c r="H21" s="268">
        <f t="shared" si="1"/>
        <v>0</v>
      </c>
      <c r="I21" s="257"/>
      <c r="J21" s="258">
        <f>'C4.1'!L$2</f>
        <v>0</v>
      </c>
      <c r="K21" s="270" t="str">
        <f t="shared" si="4"/>
        <v/>
      </c>
      <c r="L21" s="271">
        <v>1.0781142920222954E-5</v>
      </c>
      <c r="M21" s="269"/>
      <c r="N21" s="269"/>
      <c r="O21" s="269"/>
      <c r="P21" s="269"/>
      <c r="Q21" s="269"/>
      <c r="R21" s="272"/>
    </row>
    <row r="22" spans="2:18" ht="21" customHeight="1" x14ac:dyDescent="0.25">
      <c r="B22" s="252" t="str">
        <f>'Summary Checking'!B21</f>
        <v>C4.2</v>
      </c>
      <c r="C22" s="317" t="str">
        <f>'Summary Checking'!C21</f>
        <v>CUT MATERIALS</v>
      </c>
      <c r="D22" s="253">
        <f>'Summary Checking'!G21</f>
        <v>0</v>
      </c>
      <c r="F22" s="266"/>
      <c r="G22" s="267">
        <f t="shared" si="5"/>
        <v>0</v>
      </c>
      <c r="H22" s="268">
        <f t="shared" si="1"/>
        <v>0</v>
      </c>
      <c r="I22" s="257"/>
      <c r="J22" s="258">
        <f>'C4.2'!L$2</f>
        <v>0</v>
      </c>
      <c r="K22" s="270" t="str">
        <f t="shared" si="4"/>
        <v/>
      </c>
      <c r="L22" s="271">
        <v>0</v>
      </c>
      <c r="M22" s="269"/>
      <c r="N22" s="269"/>
      <c r="O22" s="269"/>
      <c r="P22" s="269"/>
      <c r="Q22" s="269"/>
      <c r="R22" s="272"/>
    </row>
    <row r="23" spans="2:18" ht="21" customHeight="1" x14ac:dyDescent="0.25">
      <c r="B23" s="252" t="str">
        <f>'Summary Checking'!B22</f>
        <v>C4.3</v>
      </c>
      <c r="C23" s="317" t="str">
        <f>'Summary Checking'!C22</f>
        <v>EXISTING ROAD MATERIALS</v>
      </c>
      <c r="D23" s="253">
        <f>'Summary Checking'!G22</f>
        <v>0</v>
      </c>
      <c r="F23" s="266"/>
      <c r="G23" s="267"/>
      <c r="H23" s="268"/>
      <c r="I23" s="257"/>
      <c r="J23" s="258">
        <f>'C4.3'!L$2</f>
        <v>0</v>
      </c>
      <c r="K23" s="270" t="str">
        <f t="shared" ref="K23:K57" si="6">IF(SUM(D23)=0,"",J23/D23)</f>
        <v/>
      </c>
      <c r="L23" s="271">
        <v>1.5363128661317709E-5</v>
      </c>
      <c r="M23" s="272"/>
      <c r="N23" s="272"/>
      <c r="O23" s="272"/>
      <c r="P23" s="272"/>
      <c r="Q23" s="272"/>
      <c r="R23" s="272"/>
    </row>
    <row r="24" spans="2:18" ht="21" customHeight="1" x14ac:dyDescent="0.25">
      <c r="B24" s="252" t="str">
        <f>'Summary Checking'!B23</f>
        <v>C4.4</v>
      </c>
      <c r="C24" s="317" t="str">
        <f>'Summary Checking'!C23</f>
        <v>COMMERCIAL MATERIALS</v>
      </c>
      <c r="D24" s="253">
        <f>'Summary Checking'!G23</f>
        <v>15000</v>
      </c>
      <c r="F24" s="266"/>
      <c r="G24" s="267">
        <f t="shared" si="5"/>
        <v>0</v>
      </c>
      <c r="H24" s="268">
        <f t="shared" ref="H24:H38" si="7">G24/$D$63</f>
        <v>0</v>
      </c>
      <c r="I24" s="257"/>
      <c r="J24" s="258">
        <f>'C4.4'!L$2</f>
        <v>600</v>
      </c>
      <c r="K24" s="270">
        <f t="shared" si="6"/>
        <v>0.04</v>
      </c>
      <c r="L24" s="271">
        <v>3.993197339021203E-3</v>
      </c>
      <c r="M24" s="269"/>
      <c r="N24" s="269"/>
      <c r="O24" s="269"/>
      <c r="P24" s="269"/>
      <c r="Q24" s="269"/>
      <c r="R24" s="272"/>
    </row>
    <row r="25" spans="2:18" ht="21" customHeight="1" x14ac:dyDescent="0.25">
      <c r="B25" s="252" t="str">
        <f>'Summary Checking'!B24</f>
        <v>C5.1</v>
      </c>
      <c r="C25" s="317" t="str">
        <f>'Summary Checking'!C24</f>
        <v>ROADBED</v>
      </c>
      <c r="D25" s="253">
        <f>'Summary Checking'!G24</f>
        <v>0</v>
      </c>
      <c r="F25" s="266"/>
      <c r="G25" s="267">
        <f t="shared" si="5"/>
        <v>0</v>
      </c>
      <c r="H25" s="268">
        <f t="shared" si="7"/>
        <v>0</v>
      </c>
      <c r="I25" s="257"/>
      <c r="J25" s="258">
        <f>'C5.1'!L$2</f>
        <v>0</v>
      </c>
      <c r="K25" s="270" t="str">
        <f t="shared" si="6"/>
        <v/>
      </c>
      <c r="L25" s="271">
        <v>1.7642531803225848E-4</v>
      </c>
      <c r="M25" s="269"/>
      <c r="N25" s="272"/>
      <c r="O25" s="272"/>
      <c r="P25" s="272"/>
      <c r="Q25" s="272"/>
      <c r="R25" s="272"/>
    </row>
    <row r="26" spans="2:18" ht="21" customHeight="1" x14ac:dyDescent="0.25">
      <c r="B26" s="252" t="str">
        <f>'Summary Checking'!B25</f>
        <v>C5.2</v>
      </c>
      <c r="C26" s="317" t="str">
        <f>'Summary Checking'!C25</f>
        <v>FILL</v>
      </c>
      <c r="D26" s="253">
        <f>'Summary Checking'!G25</f>
        <v>0</v>
      </c>
      <c r="F26" s="266"/>
      <c r="G26" s="267">
        <f t="shared" si="5"/>
        <v>0</v>
      </c>
      <c r="H26" s="268">
        <f t="shared" si="7"/>
        <v>0</v>
      </c>
      <c r="I26" s="257"/>
      <c r="J26" s="258">
        <f>'C5.2'!L$2</f>
        <v>0</v>
      </c>
      <c r="K26" s="270" t="str">
        <f t="shared" si="6"/>
        <v/>
      </c>
      <c r="L26" s="271">
        <v>1.3126354158516133E-3</v>
      </c>
      <c r="M26" s="269"/>
      <c r="N26" s="272"/>
      <c r="O26" s="272"/>
      <c r="P26" s="272"/>
      <c r="Q26" s="272"/>
      <c r="R26" s="272"/>
    </row>
    <row r="27" spans="2:18" ht="21" customHeight="1" x14ac:dyDescent="0.25">
      <c r="B27" s="252" t="str">
        <f>'Summary Checking'!B26</f>
        <v>C5.3</v>
      </c>
      <c r="C27" s="317" t="str">
        <f>'Summary Checking'!C26</f>
        <v>ROAD PAVEMENT LAYERS</v>
      </c>
      <c r="D27" s="253">
        <f>'Summary Checking'!G26</f>
        <v>0</v>
      </c>
      <c r="F27" s="266"/>
      <c r="G27" s="267">
        <f t="shared" si="5"/>
        <v>0</v>
      </c>
      <c r="H27" s="268">
        <f t="shared" si="7"/>
        <v>0</v>
      </c>
      <c r="I27" s="257"/>
      <c r="J27" s="258">
        <f>'C5.3'!L$2</f>
        <v>0</v>
      </c>
      <c r="K27" s="270" t="str">
        <f t="shared" si="6"/>
        <v/>
      </c>
      <c r="L27" s="271">
        <v>2.3195283996286236E-3</v>
      </c>
      <c r="M27" s="334"/>
      <c r="N27" s="272"/>
      <c r="O27" s="272"/>
      <c r="P27" s="272"/>
      <c r="Q27" s="272"/>
      <c r="R27" s="272"/>
    </row>
    <row r="28" spans="2:18" ht="21" customHeight="1" x14ac:dyDescent="0.25">
      <c r="B28" s="252" t="str">
        <f>'Summary Checking'!B27</f>
        <v>C5.4</v>
      </c>
      <c r="C28" s="317" t="str">
        <f>'Summary Checking'!C27</f>
        <v>STABILISATION</v>
      </c>
      <c r="D28" s="253">
        <f>'Summary Checking'!G27</f>
        <v>0</v>
      </c>
      <c r="F28" s="266"/>
      <c r="G28" s="267">
        <f t="shared" si="5"/>
        <v>0</v>
      </c>
      <c r="H28" s="268">
        <f t="shared" si="7"/>
        <v>0</v>
      </c>
      <c r="I28" s="257"/>
      <c r="J28" s="258">
        <f>'C5.4'!L$2</f>
        <v>0</v>
      </c>
      <c r="K28" s="270" t="str">
        <f t="shared" si="6"/>
        <v/>
      </c>
      <c r="L28" s="271">
        <v>1.5007377897807653E-3</v>
      </c>
      <c r="M28" s="335"/>
      <c r="N28" s="272"/>
      <c r="O28" s="272"/>
      <c r="P28" s="272"/>
      <c r="Q28" s="272"/>
      <c r="R28" s="272"/>
    </row>
    <row r="29" spans="2:18" ht="21" customHeight="1" x14ac:dyDescent="0.25">
      <c r="B29" s="252" t="str">
        <f>'Summary Checking'!B28</f>
        <v>C8.1</v>
      </c>
      <c r="C29" s="317" t="str">
        <f>'Summary Checking'!C28</f>
        <v>PRIME COAT</v>
      </c>
      <c r="D29" s="253">
        <f>'Summary Checking'!G28</f>
        <v>0</v>
      </c>
      <c r="F29" s="266"/>
      <c r="G29" s="267">
        <f t="shared" si="5"/>
        <v>0</v>
      </c>
      <c r="H29" s="268">
        <f t="shared" si="7"/>
        <v>0</v>
      </c>
      <c r="I29" s="257"/>
      <c r="J29" s="258">
        <f>'C8.1'!L$2</f>
        <v>0</v>
      </c>
      <c r="K29" s="270" t="str">
        <f t="shared" si="6"/>
        <v/>
      </c>
      <c r="L29" s="271">
        <v>3.1966088758461061E-4</v>
      </c>
      <c r="M29" s="269"/>
      <c r="N29" s="269"/>
      <c r="O29" s="269"/>
      <c r="P29" s="269"/>
      <c r="Q29" s="269"/>
      <c r="R29" s="567"/>
    </row>
    <row r="30" spans="2:18" x14ac:dyDescent="0.25">
      <c r="B30" s="252" t="str">
        <f>'Summary Checking'!B29</f>
        <v>C10.1</v>
      </c>
      <c r="C30" s="317" t="str">
        <f>'Summary Checking'!C29</f>
        <v>GENERAL REQUIREMENTS FOR SURFACE TREATMENTS</v>
      </c>
      <c r="D30" s="253">
        <f>'Summary Checking'!G29</f>
        <v>0</v>
      </c>
      <c r="F30" s="266"/>
      <c r="G30" s="267">
        <f t="shared" si="5"/>
        <v>0</v>
      </c>
      <c r="H30" s="268">
        <f t="shared" si="7"/>
        <v>0</v>
      </c>
      <c r="I30" s="257"/>
      <c r="J30" s="258">
        <f>'C10.1'!L$2</f>
        <v>0</v>
      </c>
      <c r="K30" s="270" t="str">
        <f t="shared" si="6"/>
        <v/>
      </c>
      <c r="L30" s="271">
        <v>1.4301213036533049E-3</v>
      </c>
      <c r="M30" s="269"/>
      <c r="N30" s="269"/>
      <c r="O30" s="269"/>
      <c r="P30" s="269"/>
      <c r="Q30" s="269"/>
      <c r="R30" s="568"/>
    </row>
    <row r="31" spans="2:18" ht="21" customHeight="1" x14ac:dyDescent="0.25">
      <c r="B31" s="252" t="str">
        <f>'Summary Checking'!B30</f>
        <v>C11.1</v>
      </c>
      <c r="C31" s="317" t="str">
        <f>'Summary Checking'!C30</f>
        <v>PITCHING, STONEWORK, CAST IN SITU CONCRETE FOR PROTECTION AGAINST EROSION</v>
      </c>
      <c r="D31" s="253">
        <f>'Summary Checking'!G30</f>
        <v>195120</v>
      </c>
      <c r="F31" s="266">
        <v>1</v>
      </c>
      <c r="G31" s="267">
        <f t="shared" si="5"/>
        <v>195120</v>
      </c>
      <c r="H31" s="268">
        <f t="shared" si="7"/>
        <v>5.5312308240140634E-3</v>
      </c>
      <c r="I31" s="257"/>
      <c r="J31" s="258">
        <f>'C11.1'!L$2</f>
        <v>36838</v>
      </c>
      <c r="K31" s="270">
        <f t="shared" si="6"/>
        <v>0.18879663796637966</v>
      </c>
      <c r="L31" s="271">
        <v>3.9715574289517317E-4</v>
      </c>
      <c r="M31" s="567">
        <v>4</v>
      </c>
      <c r="N31" s="567">
        <v>3</v>
      </c>
      <c r="O31" s="269"/>
      <c r="P31" s="269"/>
      <c r="Q31" s="269"/>
      <c r="R31" s="272"/>
    </row>
    <row r="32" spans="2:18" ht="21" customHeight="1" x14ac:dyDescent="0.25">
      <c r="B32" s="252" t="str">
        <f>'Summary Checking'!B31</f>
        <v>C11.2</v>
      </c>
      <c r="C32" s="317" t="str">
        <f>'Summary Checking'!C31</f>
        <v>NON-STRUCTURAL GABIONS</v>
      </c>
      <c r="D32" s="253">
        <f>'Summary Checking'!G31</f>
        <v>4598546</v>
      </c>
      <c r="F32" s="266">
        <v>1</v>
      </c>
      <c r="G32" s="267">
        <f t="shared" si="5"/>
        <v>4598546</v>
      </c>
      <c r="H32" s="268">
        <f t="shared" si="7"/>
        <v>0.13035885291536783</v>
      </c>
      <c r="I32" s="257"/>
      <c r="J32" s="464">
        <f>'C11.2'!L$2</f>
        <v>1015725.7</v>
      </c>
      <c r="K32" s="270">
        <f t="shared" si="6"/>
        <v>0.22087975199117285</v>
      </c>
      <c r="L32" s="271">
        <v>1.0950683939443503E-2</v>
      </c>
      <c r="M32" s="568"/>
      <c r="N32" s="568"/>
      <c r="O32" s="269"/>
      <c r="P32" s="269"/>
      <c r="Q32" s="269"/>
      <c r="R32" s="272"/>
    </row>
    <row r="33" spans="2:19" ht="21" customHeight="1" x14ac:dyDescent="0.25">
      <c r="B33" s="252" t="str">
        <f>'Summary Checking'!B32</f>
        <v>C11.4</v>
      </c>
      <c r="C33" s="317" t="str">
        <f>'Summary Checking'!C32</f>
        <v>ROAD RESTRAINT SYSTEMS</v>
      </c>
      <c r="D33" s="253">
        <f>'Summary Checking'!G32</f>
        <v>1418450</v>
      </c>
      <c r="F33" s="266">
        <v>1</v>
      </c>
      <c r="G33" s="267">
        <f t="shared" si="5"/>
        <v>1418450</v>
      </c>
      <c r="H33" s="268">
        <f t="shared" si="7"/>
        <v>4.0209995706861151E-2</v>
      </c>
      <c r="I33" s="257"/>
      <c r="J33" s="258">
        <f>'C11.4'!L$2</f>
        <v>152428.5</v>
      </c>
      <c r="K33" s="270">
        <f t="shared" si="6"/>
        <v>0.10746131340547781</v>
      </c>
      <c r="L33" s="271">
        <v>1.6055493659654428E-3</v>
      </c>
      <c r="M33" s="269"/>
      <c r="N33" s="269">
        <v>2</v>
      </c>
      <c r="O33" s="269"/>
      <c r="P33" s="269"/>
      <c r="Q33" s="269"/>
      <c r="R33" s="272"/>
    </row>
    <row r="34" spans="2:19" ht="21" customHeight="1" x14ac:dyDescent="0.25">
      <c r="B34" s="252" t="str">
        <f>'Summary Checking'!B33</f>
        <v>C11.5</v>
      </c>
      <c r="C34" s="317" t="str">
        <f>'Summary Checking'!C33</f>
        <v>FENCING</v>
      </c>
      <c r="D34" s="253">
        <f>'Summary Checking'!G33</f>
        <v>801145</v>
      </c>
      <c r="F34" s="266">
        <v>1</v>
      </c>
      <c r="G34" s="267">
        <f t="shared" si="5"/>
        <v>801145</v>
      </c>
      <c r="H34" s="268">
        <f t="shared" si="7"/>
        <v>2.2710731439651223E-2</v>
      </c>
      <c r="I34" s="257"/>
      <c r="J34" s="258">
        <f>'C11.5'!L$2</f>
        <v>40285.199999999997</v>
      </c>
      <c r="K34" s="270">
        <f t="shared" si="6"/>
        <v>5.0284530266056705E-2</v>
      </c>
      <c r="L34" s="271">
        <v>4.1373714070647605E-4</v>
      </c>
      <c r="M34" s="269">
        <v>2</v>
      </c>
      <c r="N34" s="269"/>
      <c r="O34" s="269"/>
      <c r="P34" s="269"/>
      <c r="Q34" s="269"/>
      <c r="R34" s="272"/>
    </row>
    <row r="35" spans="2:19" ht="21" customHeight="1" x14ac:dyDescent="0.25">
      <c r="B35" s="252" t="str">
        <f>'Summary Checking'!B34</f>
        <v>C11.6</v>
      </c>
      <c r="C35" s="317" t="str">
        <f>'Summary Checking'!C34</f>
        <v>ROAD SIGNS</v>
      </c>
      <c r="D35" s="253">
        <f>'Summary Checking'!G34</f>
        <v>0</v>
      </c>
      <c r="F35" s="266"/>
      <c r="G35" s="267">
        <f>D35*F35</f>
        <v>0</v>
      </c>
      <c r="H35" s="268">
        <f t="shared" si="7"/>
        <v>0</v>
      </c>
      <c r="I35" s="257"/>
      <c r="J35" s="258">
        <f>'C11.6'!L$2</f>
        <v>33139</v>
      </c>
      <c r="K35" s="270" t="str">
        <f t="shared" si="6"/>
        <v/>
      </c>
      <c r="L35" s="271">
        <v>3.5727629523326846E-4</v>
      </c>
      <c r="M35" s="269"/>
      <c r="N35" s="269"/>
      <c r="O35" s="269"/>
      <c r="P35" s="269"/>
      <c r="Q35" s="281"/>
      <c r="R35" s="272"/>
    </row>
    <row r="36" spans="2:19" ht="21" customHeight="1" x14ac:dyDescent="0.25">
      <c r="B36" s="252" t="str">
        <f>'Summary Checking'!B35</f>
        <v>C11.7</v>
      </c>
      <c r="C36" s="317" t="str">
        <f>'Summary Checking'!C35</f>
        <v>ROAD MARKINGS AND ROAD STUDS</v>
      </c>
      <c r="D36" s="253">
        <f>'Summary Checking'!G35</f>
        <v>370437</v>
      </c>
      <c r="F36" s="266">
        <v>1</v>
      </c>
      <c r="G36" s="267">
        <f>D36*F36</f>
        <v>370437</v>
      </c>
      <c r="H36" s="268">
        <f t="shared" si="7"/>
        <v>1.0501089343764338E-2</v>
      </c>
      <c r="I36" s="257"/>
      <c r="J36" s="258">
        <f>'C11.7'!L$2</f>
        <v>20028.2</v>
      </c>
      <c r="K36" s="270">
        <f t="shared" si="6"/>
        <v>5.406641345221995E-2</v>
      </c>
      <c r="L36" s="271">
        <v>2.1298147838900446E-4</v>
      </c>
      <c r="M36" s="269">
        <v>1</v>
      </c>
      <c r="N36" s="269"/>
      <c r="O36" s="269"/>
      <c r="P36" s="269"/>
      <c r="Q36" s="281"/>
      <c r="R36" s="272"/>
    </row>
    <row r="37" spans="2:19" ht="21" customHeight="1" x14ac:dyDescent="0.25">
      <c r="B37" s="252" t="str">
        <f>'Summary Checking'!B36</f>
        <v>C11.8</v>
      </c>
      <c r="C37" s="317" t="str">
        <f>'Summary Checking'!C36</f>
        <v>LANDSCAPING AND PLANTING PLANTS</v>
      </c>
      <c r="D37" s="253">
        <f>'Summary Checking'!G36</f>
        <v>1398300</v>
      </c>
      <c r="F37" s="266">
        <v>1</v>
      </c>
      <c r="G37" s="267">
        <f>D37*F37</f>
        <v>1398300</v>
      </c>
      <c r="H37" s="268">
        <f t="shared" si="7"/>
        <v>3.96387867016137E-2</v>
      </c>
      <c r="I37" s="257"/>
      <c r="J37" s="258">
        <f>'C11.8'!L$2</f>
        <v>264529.5</v>
      </c>
      <c r="K37" s="270">
        <f t="shared" si="6"/>
        <v>0.18917936065222055</v>
      </c>
      <c r="L37" s="271">
        <v>2.8381358737486926E-3</v>
      </c>
      <c r="M37" s="269"/>
      <c r="N37" s="269"/>
      <c r="O37" s="269">
        <v>1</v>
      </c>
      <c r="P37" s="269"/>
      <c r="Q37" s="281"/>
      <c r="R37" s="272"/>
    </row>
    <row r="38" spans="2:19" ht="21" customHeight="1" x14ac:dyDescent="0.25">
      <c r="B38" s="252" t="str">
        <f>'Summary Checking'!B37</f>
        <v>C11.9</v>
      </c>
      <c r="C38" s="317" t="str">
        <f>'Summary Checking'!C37</f>
        <v>FINISHING THE ROAD AND ROAD RESERVE AND TREATING OLD ROADS</v>
      </c>
      <c r="D38" s="253">
        <f>'Summary Checking'!G37</f>
        <v>83916</v>
      </c>
      <c r="F38" s="266">
        <v>1</v>
      </c>
      <c r="G38" s="267">
        <f t="shared" si="5"/>
        <v>83916</v>
      </c>
      <c r="H38" s="268">
        <f t="shared" si="7"/>
        <v>2.3788374632429487E-3</v>
      </c>
      <c r="I38" s="257"/>
      <c r="J38" s="258">
        <f>'C11.9'!L$2</f>
        <v>3356.64</v>
      </c>
      <c r="K38" s="270">
        <f t="shared" si="6"/>
        <v>0.04</v>
      </c>
      <c r="L38" s="271">
        <v>3.446515768736874E-5</v>
      </c>
      <c r="M38" s="269"/>
      <c r="N38" s="269"/>
      <c r="O38" s="269"/>
      <c r="P38" s="269"/>
      <c r="Q38" s="272"/>
      <c r="R38" s="272"/>
      <c r="S38" s="559"/>
    </row>
    <row r="39" spans="2:19" ht="21" customHeight="1" x14ac:dyDescent="0.25">
      <c r="B39" s="252"/>
      <c r="C39" s="317" t="s">
        <v>1394</v>
      </c>
      <c r="D39" s="253"/>
      <c r="F39" s="266"/>
      <c r="G39" s="267"/>
      <c r="H39" s="268"/>
      <c r="I39" s="257"/>
      <c r="J39" s="258"/>
      <c r="K39" s="270" t="str">
        <f t="shared" si="6"/>
        <v/>
      </c>
      <c r="L39" s="271">
        <v>0</v>
      </c>
      <c r="M39" s="269"/>
      <c r="N39" s="269"/>
      <c r="O39" s="269"/>
      <c r="P39" s="269"/>
      <c r="Q39" s="272"/>
      <c r="R39" s="272"/>
      <c r="S39" s="559"/>
    </row>
    <row r="40" spans="2:19" ht="21" customHeight="1" x14ac:dyDescent="0.25">
      <c r="B40" s="252" t="str">
        <f>'Summary Checking'!B38</f>
        <v>1/C13.1</v>
      </c>
      <c r="C40" s="317" t="str">
        <f>'Summary Checking'!C38</f>
        <v>FOUNDATIONS</v>
      </c>
      <c r="D40" s="253">
        <f>'Summary Checking'!G38</f>
        <v>248876</v>
      </c>
      <c r="F40" s="266">
        <v>1</v>
      </c>
      <c r="G40" s="267">
        <f t="shared" si="5"/>
        <v>248876</v>
      </c>
      <c r="H40" s="268">
        <f t="shared" ref="H40:H57" si="8">G40/$D$63</f>
        <v>7.0550973890801758E-3</v>
      </c>
      <c r="I40" s="257"/>
      <c r="J40" s="258">
        <f>'B- STC 4189 13.1'!L$2</f>
        <v>59048</v>
      </c>
      <c r="K40" s="270">
        <f t="shared" si="6"/>
        <v>0.23725871518346486</v>
      </c>
      <c r="L40" s="271">
        <v>6.364647722953621E-4</v>
      </c>
      <c r="M40" s="269"/>
      <c r="N40" s="269"/>
      <c r="O40" s="269"/>
      <c r="P40" s="269"/>
      <c r="Q40" s="567">
        <v>1</v>
      </c>
      <c r="R40" s="272"/>
      <c r="S40" s="559"/>
    </row>
    <row r="41" spans="2:19" ht="21" customHeight="1" x14ac:dyDescent="0.25">
      <c r="B41" s="252" t="str">
        <f>'Summary Checking'!B39</f>
        <v>1/C13.2</v>
      </c>
      <c r="C41" s="317" t="str">
        <f>'Summary Checking'!C39</f>
        <v>FALSEWORK, FORMWORK AND CONCRETE FINISH</v>
      </c>
      <c r="D41" s="253">
        <f>'Summary Checking'!G39</f>
        <v>333215</v>
      </c>
      <c r="F41" s="266">
        <v>1</v>
      </c>
      <c r="G41" s="267">
        <f t="shared" si="5"/>
        <v>333215</v>
      </c>
      <c r="H41" s="268">
        <f t="shared" si="8"/>
        <v>9.4459259892571042E-3</v>
      </c>
      <c r="I41" s="257"/>
      <c r="J41" s="258">
        <f>'B STC 4189 13.2'!L2</f>
        <v>93462</v>
      </c>
      <c r="K41" s="270">
        <f t="shared" si="6"/>
        <v>0.28048557237819427</v>
      </c>
      <c r="L41" s="271">
        <v>1.0076271796098776E-3</v>
      </c>
      <c r="M41" s="269"/>
      <c r="N41" s="269"/>
      <c r="O41" s="269"/>
      <c r="P41" s="269"/>
      <c r="Q41" s="569"/>
      <c r="R41" s="272"/>
      <c r="S41" s="559"/>
    </row>
    <row r="42" spans="2:19" ht="21" customHeight="1" x14ac:dyDescent="0.25">
      <c r="B42" s="252" t="str">
        <f>'Summary Checking'!B40</f>
        <v>1/C13.3</v>
      </c>
      <c r="C42" s="317" t="str">
        <f>'Summary Checking'!C40</f>
        <v>STEEL REINFORCEMENT</v>
      </c>
      <c r="D42" s="253">
        <f>'Summary Checking'!G40</f>
        <v>1391250</v>
      </c>
      <c r="F42" s="266">
        <v>1</v>
      </c>
      <c r="G42" s="267">
        <f t="shared" si="5"/>
        <v>1391250</v>
      </c>
      <c r="H42" s="268">
        <f t="shared" si="8"/>
        <v>3.943893441938072E-2</v>
      </c>
      <c r="I42" s="257"/>
      <c r="J42" s="258">
        <f>'B STC 4189 13.3'!L$2</f>
        <v>27825</v>
      </c>
      <c r="K42" s="270">
        <f t="shared" si="6"/>
        <v>0.02</v>
      </c>
      <c r="L42" s="271">
        <v>2.8570028738590826E-4</v>
      </c>
      <c r="M42" s="269"/>
      <c r="N42" s="269"/>
      <c r="O42" s="269"/>
      <c r="P42" s="269"/>
      <c r="Q42" s="569"/>
      <c r="R42" s="272"/>
      <c r="S42" s="559"/>
    </row>
    <row r="43" spans="2:19" ht="21" customHeight="1" x14ac:dyDescent="0.25">
      <c r="B43" s="252" t="str">
        <f>'Summary Checking'!B41</f>
        <v>1/C13.4</v>
      </c>
      <c r="C43" s="317" t="str">
        <f>'Summary Checking'!C41</f>
        <v>CONCRETE</v>
      </c>
      <c r="D43" s="253">
        <f>'Summary Checking'!G41</f>
        <v>573300</v>
      </c>
      <c r="F43" s="266">
        <v>1</v>
      </c>
      <c r="G43" s="267">
        <f t="shared" si="5"/>
        <v>573300</v>
      </c>
      <c r="H43" s="268">
        <f t="shared" si="8"/>
        <v>1.6251817504137261E-2</v>
      </c>
      <c r="I43" s="257"/>
      <c r="J43" s="258">
        <f>'B STC 4189 13.4'!L$2</f>
        <v>54288</v>
      </c>
      <c r="K43" s="270">
        <f t="shared" si="6"/>
        <v>9.4693877551020406E-2</v>
      </c>
      <c r="L43" s="271">
        <v>5.8528668685306376E-4</v>
      </c>
      <c r="M43" s="269"/>
      <c r="N43" s="269"/>
      <c r="O43" s="269"/>
      <c r="P43" s="269"/>
      <c r="Q43" s="569"/>
      <c r="R43" s="272"/>
      <c r="S43" s="559"/>
    </row>
    <row r="44" spans="2:19" ht="21" customHeight="1" x14ac:dyDescent="0.25">
      <c r="B44" s="252" t="str">
        <f>'Summary Checking'!B42</f>
        <v>1/C13.7</v>
      </c>
      <c r="C44" s="317" t="str">
        <f>'Summary Checking'!C42</f>
        <v>JOINTS</v>
      </c>
      <c r="D44" s="253">
        <f>'Summary Checking'!G42</f>
        <v>6006</v>
      </c>
      <c r="F44" s="266">
        <v>1</v>
      </c>
      <c r="G44" s="267">
        <f t="shared" si="5"/>
        <v>6006</v>
      </c>
      <c r="H44" s="268">
        <f t="shared" si="8"/>
        <v>1.7025713575762844E-4</v>
      </c>
      <c r="I44" s="257"/>
      <c r="J44" s="258">
        <f>'B STC 4189 13.7'!L$2</f>
        <v>0</v>
      </c>
      <c r="K44" s="270">
        <f t="shared" si="6"/>
        <v>0</v>
      </c>
      <c r="L44" s="271">
        <v>0</v>
      </c>
      <c r="M44" s="269"/>
      <c r="N44" s="269"/>
      <c r="O44" s="269"/>
      <c r="P44" s="269"/>
      <c r="Q44" s="569"/>
      <c r="R44" s="272"/>
      <c r="S44" s="559"/>
    </row>
    <row r="45" spans="2:19" ht="21" customHeight="1" x14ac:dyDescent="0.25">
      <c r="B45" s="252" t="str">
        <f>'Summary Checking'!B43</f>
        <v>1/C13.8</v>
      </c>
      <c r="C45" s="317" t="str">
        <f>'Summary Checking'!C43</f>
        <v>ANCILLARY STRUCTURAL ELEMENTS</v>
      </c>
      <c r="D45" s="253">
        <f>'Summary Checking'!G43</f>
        <v>90448</v>
      </c>
      <c r="F45" s="266">
        <v>1</v>
      </c>
      <c r="G45" s="267">
        <f>D45*F45</f>
        <v>90448</v>
      </c>
      <c r="H45" s="268">
        <f t="shared" si="8"/>
        <v>2.5640055636040591E-3</v>
      </c>
      <c r="I45" s="257"/>
      <c r="J45" s="258">
        <f>'B STC 4189 13.8'!L$2</f>
        <v>4230.7000000000007</v>
      </c>
      <c r="K45" s="270">
        <f t="shared" si="6"/>
        <v>4.6774942508402625E-2</v>
      </c>
      <c r="L45" s="271">
        <v>4.457894786082989E-5</v>
      </c>
      <c r="M45" s="269"/>
      <c r="N45" s="269"/>
      <c r="O45" s="269"/>
      <c r="P45" s="269"/>
      <c r="Q45" s="569"/>
      <c r="R45" s="272"/>
      <c r="S45" s="559"/>
    </row>
    <row r="46" spans="2:19" ht="21" customHeight="1" x14ac:dyDescent="0.25">
      <c r="B46" s="252" t="str">
        <f>'Summary Checking'!B44</f>
        <v>2/C13.1</v>
      </c>
      <c r="C46" s="317" t="str">
        <f>'Summary Checking'!C44</f>
        <v>FOUNDATIONS</v>
      </c>
      <c r="D46" s="253">
        <f>'Summary Checking'!G44</f>
        <v>353799</v>
      </c>
      <c r="F46" s="266">
        <v>1</v>
      </c>
      <c r="G46" s="267">
        <f t="shared" si="5"/>
        <v>353799</v>
      </c>
      <c r="H46" s="268">
        <f t="shared" si="8"/>
        <v>1.0029437957694504E-2</v>
      </c>
      <c r="I46" s="257"/>
      <c r="J46" s="258">
        <f>'B- STC 3389 13.1 '!L2</f>
        <v>113692.2</v>
      </c>
      <c r="K46" s="270">
        <f t="shared" si="6"/>
        <v>0.32134686644111488</v>
      </c>
      <c r="L46" s="271">
        <v>1.2252095107400873E-3</v>
      </c>
      <c r="M46" s="269"/>
      <c r="N46" s="269"/>
      <c r="O46" s="269"/>
      <c r="P46" s="269"/>
      <c r="Q46" s="569"/>
      <c r="R46" s="272"/>
      <c r="S46" s="559"/>
    </row>
    <row r="47" spans="2:19" ht="21" customHeight="1" x14ac:dyDescent="0.25">
      <c r="B47" s="252" t="str">
        <f>'Summary Checking'!B45</f>
        <v>2/C13.2</v>
      </c>
      <c r="C47" s="317" t="str">
        <f>'Summary Checking'!C45</f>
        <v>FALSEWORK, FORMWORK AND CONCRETE FINISH</v>
      </c>
      <c r="D47" s="253">
        <f>'Summary Checking'!G45</f>
        <v>224764</v>
      </c>
      <c r="F47" s="266">
        <v>1</v>
      </c>
      <c r="G47" s="267">
        <f t="shared" si="5"/>
        <v>224764</v>
      </c>
      <c r="H47" s="268">
        <f t="shared" si="8"/>
        <v>6.3715742360019312E-3</v>
      </c>
      <c r="I47" s="257"/>
      <c r="J47" s="258">
        <f>'B STC 3389 13.2'!L2</f>
        <v>63714</v>
      </c>
      <c r="K47" s="270">
        <f t="shared" si="6"/>
        <v>0.28347066256162018</v>
      </c>
      <c r="L47" s="271">
        <v>6.8690974001908527E-4</v>
      </c>
      <c r="M47" s="269"/>
      <c r="N47" s="269"/>
      <c r="O47" s="269"/>
      <c r="P47" s="269"/>
      <c r="Q47" s="569"/>
      <c r="R47" s="272"/>
      <c r="S47" s="559"/>
    </row>
    <row r="48" spans="2:19" ht="21" customHeight="1" x14ac:dyDescent="0.25">
      <c r="B48" s="252" t="str">
        <f>'Summary Checking'!B46</f>
        <v>2/C13.3</v>
      </c>
      <c r="C48" s="317" t="str">
        <f>'Summary Checking'!C46</f>
        <v>STEEL REINFORCEMENT</v>
      </c>
      <c r="D48" s="253">
        <f>'Summary Checking'!G46</f>
        <v>603750</v>
      </c>
      <c r="F48" s="266">
        <v>1</v>
      </c>
      <c r="G48" s="267">
        <f t="shared" si="5"/>
        <v>603750</v>
      </c>
      <c r="H48" s="268">
        <f t="shared" si="8"/>
        <v>1.7115009276335028E-2</v>
      </c>
      <c r="I48" s="257"/>
      <c r="J48" s="258">
        <f>'B STC 3389 13.3 '!L2</f>
        <v>12075</v>
      </c>
      <c r="K48" s="270">
        <f t="shared" si="6"/>
        <v>0.02</v>
      </c>
      <c r="L48" s="271">
        <v>1.2398314358256398E-4</v>
      </c>
      <c r="M48" s="269"/>
      <c r="N48" s="269"/>
      <c r="O48" s="269"/>
      <c r="P48" s="269"/>
      <c r="Q48" s="569"/>
      <c r="R48" s="272"/>
      <c r="S48" s="559"/>
    </row>
    <row r="49" spans="2:23" ht="21" customHeight="1" x14ac:dyDescent="0.25">
      <c r="B49" s="252" t="str">
        <f>'Summary Checking'!B47</f>
        <v>2/C13.4</v>
      </c>
      <c r="C49" s="317" t="str">
        <f>'Summary Checking'!C47</f>
        <v>CONCRETE</v>
      </c>
      <c r="D49" s="253">
        <f>'Summary Checking'!G47</f>
        <v>514500</v>
      </c>
      <c r="F49" s="266">
        <v>1</v>
      </c>
      <c r="G49" s="267">
        <f t="shared" si="5"/>
        <v>514500</v>
      </c>
      <c r="H49" s="268">
        <f t="shared" si="8"/>
        <v>1.4584964426789851E-2</v>
      </c>
      <c r="I49" s="257"/>
      <c r="J49" s="258">
        <f>'B STC 3389 13.4'!L2</f>
        <v>48720</v>
      </c>
      <c r="K49" s="270">
        <f t="shared" si="6"/>
        <v>9.4693877551020406E-2</v>
      </c>
      <c r="L49" s="271">
        <v>5.2525728307326232E-4</v>
      </c>
      <c r="M49" s="269"/>
      <c r="N49" s="269"/>
      <c r="O49" s="269"/>
      <c r="P49" s="269"/>
      <c r="Q49" s="569"/>
      <c r="R49" s="272"/>
      <c r="S49" s="559"/>
    </row>
    <row r="50" spans="2:23" ht="21" customHeight="1" x14ac:dyDescent="0.25">
      <c r="B50" s="252" t="str">
        <f>'Summary Checking'!B48</f>
        <v>2/C13.7</v>
      </c>
      <c r="C50" s="317" t="str">
        <f>'Summary Checking'!C48</f>
        <v>JOINTS</v>
      </c>
      <c r="D50" s="253">
        <f>'Summary Checking'!G48</f>
        <v>6006</v>
      </c>
      <c r="F50" s="266">
        <v>1</v>
      </c>
      <c r="G50" s="267">
        <f t="shared" si="5"/>
        <v>6006</v>
      </c>
      <c r="H50" s="268">
        <f t="shared" si="8"/>
        <v>1.7025713575762844E-4</v>
      </c>
      <c r="I50" s="257"/>
      <c r="J50" s="258">
        <f>'B STC 3389 13.7 '!L2</f>
        <v>0</v>
      </c>
      <c r="K50" s="270">
        <f t="shared" si="6"/>
        <v>0</v>
      </c>
      <c r="L50" s="271">
        <v>0</v>
      </c>
      <c r="M50" s="269"/>
      <c r="N50" s="269"/>
      <c r="O50" s="269"/>
      <c r="P50" s="269"/>
      <c r="Q50" s="569"/>
      <c r="R50" s="272"/>
      <c r="S50" s="559"/>
    </row>
    <row r="51" spans="2:23" ht="21" customHeight="1" x14ac:dyDescent="0.25">
      <c r="B51" s="252" t="str">
        <f>'Summary Checking'!B49</f>
        <v>2/C13.8</v>
      </c>
      <c r="C51" s="317" t="str">
        <f>'Summary Checking'!C49</f>
        <v>ANCILLARY STRUCTURAL ELEMENTS</v>
      </c>
      <c r="D51" s="253">
        <f>'Summary Checking'!G49</f>
        <v>89603</v>
      </c>
      <c r="F51" s="266">
        <v>1</v>
      </c>
      <c r="G51" s="267">
        <f t="shared" si="5"/>
        <v>89603</v>
      </c>
      <c r="H51" s="268">
        <f t="shared" si="8"/>
        <v>2.5400516375775526E-3</v>
      </c>
      <c r="I51" s="257"/>
      <c r="J51" s="258">
        <f>'B STC 3389 13.8'!L2</f>
        <v>3947.6000000000004</v>
      </c>
      <c r="K51" s="270">
        <f t="shared" si="6"/>
        <v>4.4056560606229707E-2</v>
      </c>
      <c r="L51" s="271">
        <v>4.1526806300114778E-5</v>
      </c>
      <c r="M51" s="269"/>
      <c r="N51" s="269"/>
      <c r="O51" s="269"/>
      <c r="P51" s="269"/>
      <c r="Q51" s="569"/>
      <c r="R51" s="272"/>
      <c r="S51" s="559"/>
    </row>
    <row r="52" spans="2:23" ht="21" customHeight="1" x14ac:dyDescent="0.25">
      <c r="B52" s="252" t="str">
        <f>'Summary Checking'!B50</f>
        <v>3/C13.1</v>
      </c>
      <c r="C52" s="317" t="str">
        <f>'Summary Checking'!C50</f>
        <v>FOUNDATIONS</v>
      </c>
      <c r="D52" s="253">
        <f>'Summary Checking'!G50</f>
        <v>132986</v>
      </c>
      <c r="F52" s="266">
        <v>1</v>
      </c>
      <c r="G52" s="267">
        <f t="shared" si="5"/>
        <v>132986</v>
      </c>
      <c r="H52" s="268">
        <f t="shared" si="8"/>
        <v>3.7698660432673955E-3</v>
      </c>
      <c r="I52" s="257"/>
      <c r="J52" s="258">
        <f>'B- STC 4191 13.1'!L2</f>
        <v>33964.400000000001</v>
      </c>
      <c r="K52" s="270">
        <f t="shared" si="6"/>
        <v>0.25539831260433432</v>
      </c>
      <c r="L52" s="271">
        <v>3.6596589642696819E-4</v>
      </c>
      <c r="M52" s="269"/>
      <c r="N52" s="269"/>
      <c r="O52" s="269"/>
      <c r="P52" s="269"/>
      <c r="Q52" s="569"/>
      <c r="R52" s="272"/>
      <c r="S52" s="559"/>
    </row>
    <row r="53" spans="2:23" ht="21" customHeight="1" x14ac:dyDescent="0.25">
      <c r="B53" s="252" t="str">
        <f>'Summary Checking'!B51</f>
        <v>3/C13.2</v>
      </c>
      <c r="C53" s="317" t="str">
        <f>'Summary Checking'!C51</f>
        <v>FALSEWORK, FORMWORK AND CONCRETE FINISH</v>
      </c>
      <c r="D53" s="253">
        <f>'Summary Checking'!G51</f>
        <v>142064</v>
      </c>
      <c r="F53" s="266">
        <v>1</v>
      </c>
      <c r="G53" s="267">
        <f>D53*F53</f>
        <v>142064</v>
      </c>
      <c r="H53" s="268">
        <f t="shared" si="8"/>
        <v>4.0272077479639908E-3</v>
      </c>
      <c r="I53" s="257"/>
      <c r="J53" s="258">
        <f>'B STC 4191 13.2'!L2</f>
        <v>39960</v>
      </c>
      <c r="K53" s="270">
        <f t="shared" si="6"/>
        <v>0.28128167586439912</v>
      </c>
      <c r="L53" s="271">
        <v>4.3081447109210924E-4</v>
      </c>
      <c r="M53" s="269"/>
      <c r="N53" s="269"/>
      <c r="O53" s="269"/>
      <c r="P53" s="269"/>
      <c r="Q53" s="569"/>
      <c r="R53" s="272"/>
      <c r="S53" s="559"/>
    </row>
    <row r="54" spans="2:23" ht="21" customHeight="1" x14ac:dyDescent="0.25">
      <c r="B54" s="252" t="str">
        <f>'Summary Checking'!B52</f>
        <v>3/C13.3</v>
      </c>
      <c r="C54" s="317" t="str">
        <f>'Summary Checking'!C52</f>
        <v>STEEL REINFORCEMENT</v>
      </c>
      <c r="D54" s="253">
        <f>'Summary Checking'!G52</f>
        <v>236250</v>
      </c>
      <c r="F54" s="266">
        <v>1</v>
      </c>
      <c r="G54" s="267">
        <f>D54*F54</f>
        <v>236250</v>
      </c>
      <c r="H54" s="268">
        <f t="shared" si="8"/>
        <v>6.6971775429137065E-3</v>
      </c>
      <c r="I54" s="257"/>
      <c r="J54" s="258">
        <f>'B STC 4191 13.3'!L2</f>
        <v>4725</v>
      </c>
      <c r="K54" s="270">
        <f t="shared" si="6"/>
        <v>0.02</v>
      </c>
      <c r="L54" s="271">
        <v>4.8515143141003295E-5</v>
      </c>
      <c r="M54" s="269"/>
      <c r="N54" s="269"/>
      <c r="O54" s="269"/>
      <c r="P54" s="269"/>
      <c r="Q54" s="569"/>
      <c r="R54" s="272"/>
      <c r="S54" s="559"/>
    </row>
    <row r="55" spans="2:23" ht="21" customHeight="1" x14ac:dyDescent="0.25">
      <c r="B55" s="252" t="str">
        <f>'Summary Checking'!B53</f>
        <v>3/C13.4</v>
      </c>
      <c r="C55" s="317" t="str">
        <f>'Summary Checking'!C53</f>
        <v>CONCRETE</v>
      </c>
      <c r="D55" s="253">
        <f>'Summary Checking'!G53</f>
        <v>198450</v>
      </c>
      <c r="F55" s="266">
        <v>1</v>
      </c>
      <c r="G55" s="267">
        <f>D55*F55</f>
        <v>198450</v>
      </c>
      <c r="H55" s="268">
        <f t="shared" si="8"/>
        <v>5.6256291360475136E-3</v>
      </c>
      <c r="I55" s="257"/>
      <c r="J55" s="258">
        <f>'B STC 4191 13.4'!L2</f>
        <v>18792</v>
      </c>
      <c r="K55" s="270">
        <f t="shared" si="6"/>
        <v>9.4693877551020406E-2</v>
      </c>
      <c r="L55" s="271">
        <v>2.0259923775682974E-4</v>
      </c>
      <c r="M55" s="269"/>
      <c r="N55" s="269"/>
      <c r="O55" s="269"/>
      <c r="P55" s="269"/>
      <c r="Q55" s="569"/>
      <c r="R55" s="272"/>
      <c r="S55" s="559"/>
    </row>
    <row r="56" spans="2:23" ht="21" customHeight="1" x14ac:dyDescent="0.25">
      <c r="B56" s="252" t="str">
        <f>'Summary Checking'!B54</f>
        <v>3/C13.7</v>
      </c>
      <c r="C56" s="317" t="str">
        <f>'Summary Checking'!C54</f>
        <v>JOINTS</v>
      </c>
      <c r="D56" s="253">
        <f>'Summary Checking'!G54</f>
        <v>4494</v>
      </c>
      <c r="F56" s="266">
        <v>1</v>
      </c>
      <c r="G56" s="267">
        <f>D56*F56</f>
        <v>4494</v>
      </c>
      <c r="H56" s="268">
        <f t="shared" si="8"/>
        <v>1.2739519948298073E-4</v>
      </c>
      <c r="I56" s="257"/>
      <c r="J56" s="258">
        <f>'B STC 4191 13.7 '!L2</f>
        <v>0</v>
      </c>
      <c r="K56" s="270">
        <f t="shared" si="6"/>
        <v>0</v>
      </c>
      <c r="L56" s="271">
        <v>0</v>
      </c>
      <c r="M56" s="269"/>
      <c r="N56" s="269"/>
      <c r="O56" s="269"/>
      <c r="P56" s="269"/>
      <c r="Q56" s="569"/>
      <c r="R56" s="272"/>
      <c r="S56" s="559"/>
    </row>
    <row r="57" spans="2:23" ht="21" customHeight="1" x14ac:dyDescent="0.25">
      <c r="B57" s="252" t="str">
        <f>'Summary Checking'!B55</f>
        <v>3/C13.8</v>
      </c>
      <c r="C57" s="317" t="str">
        <f>'Summary Checking'!C55</f>
        <v>ANCILLARY STRUCTURAL ELEMENTS</v>
      </c>
      <c r="D57" s="253">
        <f>'Summary Checking'!G55</f>
        <v>78583</v>
      </c>
      <c r="F57" s="266">
        <v>1</v>
      </c>
      <c r="G57" s="267">
        <f>D57*F57</f>
        <v>78583</v>
      </c>
      <c r="H57" s="268">
        <f t="shared" si="8"/>
        <v>2.2276584247821708E-3</v>
      </c>
      <c r="I57" s="257"/>
      <c r="J57" s="258">
        <f>'B STC 4191 13.8'!L2</f>
        <v>3326.7000000000003</v>
      </c>
      <c r="K57" s="270">
        <f t="shared" si="6"/>
        <v>4.2333583599506258E-2</v>
      </c>
      <c r="L57" s="271">
        <v>3.483279466094834E-5</v>
      </c>
      <c r="M57" s="269"/>
      <c r="N57" s="269"/>
      <c r="O57" s="269"/>
      <c r="P57" s="269"/>
      <c r="Q57" s="568"/>
      <c r="R57" s="272"/>
      <c r="S57" s="559"/>
    </row>
    <row r="58" spans="2:23" ht="21" customHeight="1" x14ac:dyDescent="0.25">
      <c r="B58" s="359" t="str">
        <f>'C20.1'!B11</f>
        <v>C20.1</v>
      </c>
      <c r="C58" s="359" t="str">
        <f>'C20.1'!C11</f>
        <v>TESTING MATERIALS AND JUDGEMENT OF WORKMANSHIP</v>
      </c>
      <c r="D58" s="253">
        <f>'C20.1'!H1</f>
        <v>175000</v>
      </c>
      <c r="F58" s="266"/>
      <c r="G58" s="267"/>
      <c r="H58" s="268"/>
      <c r="I58" s="257"/>
      <c r="J58" s="258">
        <f>'C20.1'!L2</f>
        <v>0</v>
      </c>
      <c r="K58" s="270"/>
      <c r="L58" s="271"/>
      <c r="M58" s="269"/>
      <c r="N58" s="269"/>
      <c r="O58" s="269"/>
      <c r="P58" s="269"/>
      <c r="Q58" s="358"/>
      <c r="R58" s="272"/>
      <c r="S58" s="59"/>
    </row>
    <row r="59" spans="2:23" ht="9" customHeight="1" thickBot="1" x14ac:dyDescent="0.3">
      <c r="B59" s="282"/>
      <c r="C59" s="283"/>
      <c r="D59" s="265"/>
      <c r="F59" s="284"/>
      <c r="G59" s="267"/>
      <c r="H59" s="268"/>
      <c r="I59" s="257"/>
      <c r="J59" s="269"/>
      <c r="K59" s="270" t="str">
        <f>IF(SUM(D59)=0,"",J59/D59)</f>
        <v/>
      </c>
      <c r="L59" s="271">
        <v>0</v>
      </c>
      <c r="M59" s="285"/>
      <c r="N59" s="285"/>
      <c r="O59" s="285"/>
      <c r="P59" s="285"/>
      <c r="Q59" s="285"/>
      <c r="R59" s="286"/>
    </row>
    <row r="60" spans="2:23" ht="21" customHeight="1" x14ac:dyDescent="0.25">
      <c r="B60" s="560" t="s">
        <v>1382</v>
      </c>
      <c r="C60" s="561"/>
      <c r="D60" s="265">
        <f>ROUND(SUM(D8:D38)+D58,2)</f>
        <v>26489710.5</v>
      </c>
      <c r="F60" s="284"/>
      <c r="G60" s="267">
        <f>ROUND(SUM(G8:G59),2)</f>
        <v>30583054.5</v>
      </c>
      <c r="H60" s="268">
        <f>G60/$D$63</f>
        <v>0.86696358006817342</v>
      </c>
      <c r="I60" s="257"/>
      <c r="J60" s="269">
        <f>ROUND(SUM(J8:J59),2)</f>
        <v>5802407.2199999997</v>
      </c>
      <c r="K60" s="270">
        <f>IF(SUM(D60)=0,"",J60/D60)</f>
        <v>0.21904381401223694</v>
      </c>
      <c r="L60" s="271">
        <v>7.3754913271800324E-2</v>
      </c>
      <c r="M60" s="258">
        <f t="shared" ref="M60:R60" si="9">SUM(M8:M43)</f>
        <v>8</v>
      </c>
      <c r="N60" s="258">
        <f t="shared" si="9"/>
        <v>10</v>
      </c>
      <c r="O60" s="258">
        <f t="shared" si="9"/>
        <v>4</v>
      </c>
      <c r="P60" s="258">
        <f t="shared" si="9"/>
        <v>1</v>
      </c>
      <c r="Q60" s="258">
        <f t="shared" si="9"/>
        <v>1</v>
      </c>
      <c r="R60" s="287">
        <f t="shared" si="9"/>
        <v>0</v>
      </c>
      <c r="S60" s="466">
        <f>SUM(M60:R60)</f>
        <v>24</v>
      </c>
      <c r="U60" s="56">
        <f>SUM(U61:U65)</f>
        <v>24</v>
      </c>
    </row>
    <row r="61" spans="2:23" ht="21" customHeight="1" x14ac:dyDescent="0.25">
      <c r="B61" s="560" t="s">
        <v>1383</v>
      </c>
      <c r="C61" s="561"/>
      <c r="D61" s="265">
        <f>ROUND(SUM(D40:D57),2)</f>
        <v>5228344</v>
      </c>
      <c r="F61" s="284"/>
      <c r="G61" s="267"/>
      <c r="H61" s="268"/>
      <c r="I61" s="257"/>
      <c r="J61" s="269"/>
      <c r="K61" s="270"/>
      <c r="L61" s="271"/>
      <c r="M61" s="258"/>
      <c r="N61" s="258"/>
      <c r="O61" s="258"/>
      <c r="P61" s="258"/>
      <c r="Q61" s="258"/>
      <c r="R61" s="287"/>
      <c r="S61" s="56">
        <v>0.35</v>
      </c>
      <c r="T61" s="56">
        <f>S61*S$60</f>
        <v>8.3999999999999986</v>
      </c>
      <c r="U61" s="56">
        <v>8</v>
      </c>
    </row>
    <row r="62" spans="2:23" ht="21" customHeight="1" thickBot="1" x14ac:dyDescent="0.3">
      <c r="B62" s="562" t="s">
        <v>1385</v>
      </c>
      <c r="C62" s="563"/>
      <c r="D62" s="288">
        <v>3558000</v>
      </c>
      <c r="F62" s="289"/>
      <c r="G62" s="290">
        <f>D62*F62</f>
        <v>0</v>
      </c>
      <c r="H62" s="291">
        <f>G62/$D$63</f>
        <v>0</v>
      </c>
      <c r="I62" s="257"/>
      <c r="J62" s="281">
        <v>0</v>
      </c>
      <c r="K62" s="292">
        <f>IF(SUM(D62)=0,"",J62/D62)</f>
        <v>0</v>
      </c>
      <c r="L62" s="293">
        <v>0</v>
      </c>
      <c r="M62" s="281"/>
      <c r="N62" s="281"/>
      <c r="O62" s="281"/>
      <c r="P62" s="281"/>
      <c r="Q62" s="281"/>
      <c r="R62" s="294"/>
      <c r="S62" s="56">
        <v>0.3</v>
      </c>
      <c r="T62" s="56">
        <f>S62*S$60</f>
        <v>7.1999999999999993</v>
      </c>
      <c r="U62" s="56">
        <v>7</v>
      </c>
      <c r="W62" s="466">
        <f>SUM(D13:D57)</f>
        <v>28141954.5</v>
      </c>
    </row>
    <row r="63" spans="2:23" ht="21" customHeight="1" thickBot="1" x14ac:dyDescent="0.3">
      <c r="B63" s="564" t="s">
        <v>1386</v>
      </c>
      <c r="C63" s="565"/>
      <c r="D63" s="295">
        <f>SUM(D60:D62)</f>
        <v>35276054.5</v>
      </c>
      <c r="F63" s="296">
        <f>G63/D63</f>
        <v>0.86696358006817342</v>
      </c>
      <c r="G63" s="297">
        <f>SUM(G60:G62)</f>
        <v>30583054.5</v>
      </c>
      <c r="H63" s="298">
        <f>G63/D63</f>
        <v>0.86696358006817342</v>
      </c>
      <c r="I63" s="257"/>
      <c r="J63" s="299">
        <f>SUM(J60:J62)</f>
        <v>5802407.2199999997</v>
      </c>
      <c r="K63" s="300"/>
      <c r="L63" s="301"/>
      <c r="M63" s="299"/>
      <c r="N63" s="299"/>
      <c r="O63" s="299"/>
      <c r="P63" s="299"/>
      <c r="Q63" s="299"/>
      <c r="R63" s="302"/>
      <c r="S63" s="56">
        <v>0.05</v>
      </c>
      <c r="T63" s="56">
        <f t="shared" ref="T63:T65" si="10">S63*S$60</f>
        <v>1.2000000000000002</v>
      </c>
      <c r="U63" s="56">
        <v>1</v>
      </c>
    </row>
    <row r="64" spans="2:23" x14ac:dyDescent="0.25">
      <c r="D64" s="303"/>
      <c r="F64" s="303"/>
      <c r="G64" s="303"/>
      <c r="K64" s="6"/>
      <c r="L64" s="6"/>
      <c r="S64" s="56">
        <v>0.1</v>
      </c>
      <c r="T64" s="56">
        <f t="shared" si="10"/>
        <v>2.4000000000000004</v>
      </c>
      <c r="U64" s="56">
        <v>3</v>
      </c>
    </row>
    <row r="65" spans="2:23" ht="15" customHeight="1" x14ac:dyDescent="0.25">
      <c r="B65" s="304" t="s">
        <v>1387</v>
      </c>
      <c r="C65" s="305"/>
      <c r="D65" s="306">
        <f>G63</f>
        <v>30583054.5</v>
      </c>
      <c r="F65" s="307">
        <f>D65/D63</f>
        <v>0.86696358006817342</v>
      </c>
      <c r="H65" s="63"/>
      <c r="S65" s="56">
        <v>0.2</v>
      </c>
      <c r="T65" s="56">
        <f t="shared" si="10"/>
        <v>4.8000000000000007</v>
      </c>
      <c r="U65" s="56">
        <v>5</v>
      </c>
    </row>
    <row r="66" spans="2:23" x14ac:dyDescent="0.25">
      <c r="B66" s="308" t="s">
        <v>1389</v>
      </c>
      <c r="C66" s="309"/>
      <c r="D66" s="310">
        <f>ROUND(F66*D63,2)</f>
        <v>10582816.35</v>
      </c>
      <c r="F66" s="311">
        <v>0.3</v>
      </c>
    </row>
    <row r="67" spans="2:23" x14ac:dyDescent="0.25">
      <c r="B67" s="308" t="str">
        <f>IF(D66&gt;D65,"Shortfall:","Surplus to Requirements:")</f>
        <v>Surplus to Requirements:</v>
      </c>
      <c r="C67" s="309"/>
      <c r="D67" s="310">
        <f>ABS(D66-D65)</f>
        <v>20000238.149999999</v>
      </c>
      <c r="F67" s="311">
        <f>ABS(F66-F65)</f>
        <v>0.56696358006817338</v>
      </c>
      <c r="M67" s="6" t="s">
        <v>1388</v>
      </c>
      <c r="N67" s="306">
        <v>8410872.1329257134</v>
      </c>
      <c r="O67" s="307">
        <f>ROUND(N67/N$68,3)</f>
        <v>0.245</v>
      </c>
    </row>
    <row r="68" spans="2:23" x14ac:dyDescent="0.25">
      <c r="M68" s="5" t="s">
        <v>1390</v>
      </c>
      <c r="N68" s="312">
        <f>Summary1!E12</f>
        <v>34284061</v>
      </c>
      <c r="O68" s="311">
        <f>ROUND(N68/N$68,3)</f>
        <v>1</v>
      </c>
    </row>
    <row r="69" spans="2:23" ht="42.75" customHeight="1" x14ac:dyDescent="0.25">
      <c r="B69" s="566" t="s">
        <v>1528</v>
      </c>
      <c r="C69" s="566"/>
      <c r="D69" s="566"/>
      <c r="E69" s="566"/>
      <c r="F69" s="566"/>
      <c r="G69" s="566"/>
      <c r="U69" s="56" t="s">
        <v>1391</v>
      </c>
      <c r="V69" s="465">
        <v>28384.422694808698</v>
      </c>
    </row>
    <row r="70" spans="2:23" x14ac:dyDescent="0.25">
      <c r="V70" s="56" t="s">
        <v>1392</v>
      </c>
      <c r="W70" s="56" t="s">
        <v>1393</v>
      </c>
    </row>
    <row r="71" spans="2:23" x14ac:dyDescent="0.25">
      <c r="B71" s="313"/>
      <c r="V71" s="56">
        <v>71.677835087900746</v>
      </c>
      <c r="W71" s="56">
        <f>V71*0.2</f>
        <v>14.33556701758015</v>
      </c>
    </row>
    <row r="72" spans="2:23" x14ac:dyDescent="0.25">
      <c r="V72" s="56">
        <f>V71-W71</f>
        <v>57.3422680703206</v>
      </c>
    </row>
    <row r="73" spans="2:23" ht="21" customHeight="1" x14ac:dyDescent="0.25">
      <c r="B73" s="263"/>
      <c r="C73" s="264"/>
      <c r="D73" s="314"/>
      <c r="F73" s="266"/>
      <c r="G73" s="265"/>
      <c r="H73" s="315"/>
      <c r="I73" s="257"/>
    </row>
    <row r="74" spans="2:23" ht="21" customHeight="1" x14ac:dyDescent="0.25">
      <c r="B74" s="263"/>
      <c r="C74" s="264"/>
      <c r="D74" s="314"/>
      <c r="F74" s="266"/>
      <c r="G74" s="265"/>
      <c r="H74" s="316"/>
      <c r="I74" s="257"/>
    </row>
    <row r="75" spans="2:23" ht="21" customHeight="1" x14ac:dyDescent="0.25">
      <c r="B75" s="263"/>
      <c r="C75" s="264"/>
      <c r="D75" s="314"/>
      <c r="F75" s="266"/>
      <c r="G75" s="265"/>
      <c r="H75" s="315"/>
      <c r="I75" s="257"/>
    </row>
    <row r="76" spans="2:23" ht="21" customHeight="1" x14ac:dyDescent="0.25">
      <c r="B76" s="263"/>
      <c r="C76" s="264"/>
      <c r="D76" s="314"/>
      <c r="F76" s="266"/>
      <c r="G76" s="265"/>
      <c r="H76" s="316"/>
      <c r="I76" s="257"/>
    </row>
    <row r="77" spans="2:23" ht="21" customHeight="1" x14ac:dyDescent="0.25">
      <c r="B77" s="263"/>
      <c r="C77" s="264"/>
      <c r="D77" s="314"/>
      <c r="F77" s="266"/>
      <c r="G77" s="265"/>
      <c r="H77" s="316"/>
      <c r="I77" s="257"/>
    </row>
    <row r="80" spans="2:23" x14ac:dyDescent="0.25">
      <c r="B80" s="59" t="s">
        <v>1395</v>
      </c>
    </row>
    <row r="82" spans="2:4" x14ac:dyDescent="0.25">
      <c r="B82" s="570" t="s">
        <v>1382</v>
      </c>
      <c r="C82" s="571"/>
      <c r="D82" s="265">
        <v>78810226.599999994</v>
      </c>
    </row>
    <row r="83" spans="2:4" x14ac:dyDescent="0.25">
      <c r="B83" s="570" t="s">
        <v>1383</v>
      </c>
      <c r="C83" s="571"/>
      <c r="D83" s="265">
        <v>4836558.1900000004</v>
      </c>
    </row>
    <row r="84" spans="2:4" x14ac:dyDescent="0.25">
      <c r="B84" s="570" t="s">
        <v>1384</v>
      </c>
      <c r="C84" s="571"/>
      <c r="D84" s="265">
        <v>521125</v>
      </c>
    </row>
    <row r="85" spans="2:4" ht="13.8" thickBot="1" x14ac:dyDescent="0.3">
      <c r="B85" s="572" t="s">
        <v>1385</v>
      </c>
      <c r="C85" s="573"/>
      <c r="D85" s="288">
        <v>3558000</v>
      </c>
    </row>
    <row r="86" spans="2:4" ht="13.8" thickBot="1" x14ac:dyDescent="0.3">
      <c r="B86" s="574" t="s">
        <v>1386</v>
      </c>
      <c r="C86" s="575"/>
      <c r="D86" s="295">
        <v>87725909.789999992</v>
      </c>
    </row>
    <row r="87" spans="2:4" x14ac:dyDescent="0.25">
      <c r="B87" s="336"/>
      <c r="C87" s="337"/>
      <c r="D87" s="303"/>
    </row>
    <row r="88" spans="2:4" x14ac:dyDescent="0.25">
      <c r="B88" s="338" t="s">
        <v>1387</v>
      </c>
      <c r="C88" s="339"/>
      <c r="D88" s="306">
        <v>33406224.260000002</v>
      </c>
    </row>
    <row r="89" spans="2:4" x14ac:dyDescent="0.25">
      <c r="B89" s="340" t="s">
        <v>1389</v>
      </c>
      <c r="C89" s="341"/>
      <c r="D89" s="310">
        <v>30704068.43</v>
      </c>
    </row>
    <row r="90" spans="2:4" x14ac:dyDescent="0.25">
      <c r="B90" s="340" t="str">
        <f>IF(D89&gt;D88,"Shortfall:","Surplus to Requirements:")</f>
        <v>Surplus to Requirements:</v>
      </c>
      <c r="C90" s="341"/>
      <c r="D90" s="310">
        <v>2702155.8300000019</v>
      </c>
    </row>
  </sheetData>
  <mergeCells count="18">
    <mergeCell ref="B82:C82"/>
    <mergeCell ref="B83:C83"/>
    <mergeCell ref="B84:C84"/>
    <mergeCell ref="B85:C85"/>
    <mergeCell ref="B86:C86"/>
    <mergeCell ref="B61:C61"/>
    <mergeCell ref="B62:C62"/>
    <mergeCell ref="B63:C63"/>
    <mergeCell ref="B69:G69"/>
    <mergeCell ref="R29:R30"/>
    <mergeCell ref="M31:M32"/>
    <mergeCell ref="N31:N32"/>
    <mergeCell ref="Q40:Q57"/>
    <mergeCell ref="B6:D6"/>
    <mergeCell ref="S38:S43"/>
    <mergeCell ref="S44:S48"/>
    <mergeCell ref="S49:S57"/>
    <mergeCell ref="B60:C60"/>
  </mergeCells>
  <pageMargins left="0.39370078740157483" right="0.35433070866141736" top="0.62992125984251968" bottom="0.55118110236220474" header="0.51181102362204722" footer="0.31496062992125984"/>
  <pageSetup paperSize="9" scale="38" firstPageNumber="38" orientation="landscape" cellComments="asDisplayed" r:id="rId1"/>
  <headerFooter alignWithMargins="0">
    <oddHeader xml:space="preserve">&amp;R&amp;"Arial,Bold Italic"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6E98E-A4C4-4D01-971C-E448503FEE83}">
  <sheetPr>
    <tabColor theme="3" tint="0.59999389629810485"/>
  </sheetPr>
  <dimension ref="B1:Q56"/>
  <sheetViews>
    <sheetView view="pageBreakPreview" zoomScaleNormal="100" zoomScaleSheetLayoutView="100" zoomScalePageLayoutView="150" workbookViewId="0">
      <selection activeCell="F1" sqref="F1:H1"/>
    </sheetView>
  </sheetViews>
  <sheetFormatPr defaultColWidth="8.6640625" defaultRowHeight="13.2" x14ac:dyDescent="0.25"/>
  <cols>
    <col min="1" max="1" width="0.6640625" style="56" customWidth="1"/>
    <col min="2" max="2" width="11.5546875" style="59" customWidth="1"/>
    <col min="3" max="3" width="45.5546875" style="57" customWidth="1"/>
    <col min="4" max="4" width="13.5546875" style="57" customWidth="1"/>
    <col min="5" max="5" width="5.5546875" style="144" customWidth="1"/>
    <col min="6" max="7" width="15.5546875" style="56" customWidth="1"/>
    <col min="8" max="8" width="15.5546875" style="145" customWidth="1"/>
    <col min="9" max="9" width="0.6640625" style="56" customWidth="1"/>
    <col min="10" max="10" width="8.6640625" style="56"/>
    <col min="11" max="11" width="15.44140625" style="56" customWidth="1"/>
    <col min="12" max="12" width="12.5546875" style="56" customWidth="1"/>
    <col min="13" max="13" width="9.44140625" style="56" customWidth="1"/>
    <col min="14" max="16384" width="8.6640625" style="56"/>
  </cols>
  <sheetData>
    <row r="1" spans="2:17" x14ac:dyDescent="0.25">
      <c r="B1" s="2" t="str">
        <f>Client1</f>
        <v>Province of KwaZulu-Natal</v>
      </c>
      <c r="D1" s="4"/>
      <c r="E1" s="4"/>
      <c r="F1" s="510" t="str">
        <f>"Contract No. "&amp;ContractNo</f>
        <v>Contract No. ZNB02215/00000/00/HOD/INF/23/T</v>
      </c>
      <c r="G1" s="510"/>
      <c r="H1" s="510"/>
    </row>
    <row r="2" spans="2:17" s="1" customFormat="1" ht="18" customHeight="1" x14ac:dyDescent="0.25">
      <c r="B2" s="96" t="str">
        <f>Client2</f>
        <v>Department of Transport</v>
      </c>
      <c r="C2" s="57"/>
      <c r="D2" s="4"/>
      <c r="E2" s="4"/>
      <c r="F2" s="4"/>
      <c r="H2" s="5"/>
      <c r="L2" s="4"/>
    </row>
    <row r="3" spans="2:17" s="1" customFormat="1" ht="16.5" customHeight="1" x14ac:dyDescent="0.25">
      <c r="B3" s="84"/>
      <c r="C3" s="99"/>
      <c r="D3" s="85"/>
      <c r="E3" s="85"/>
      <c r="F3" s="85"/>
      <c r="G3" s="86"/>
      <c r="H3" s="98"/>
      <c r="J3" s="5"/>
      <c r="K3" s="5"/>
      <c r="L3" s="4"/>
    </row>
    <row r="4" spans="2:17" s="1" customFormat="1" ht="7.5" customHeight="1" x14ac:dyDescent="0.25">
      <c r="B4" s="500" t="str">
        <f>ContractDescription</f>
        <v>UPGRADING OF MAIN ROAD P8/3 FROM GRAVEL TO BLACKTOP BETWEEN KM 17.560 AND KM 24.221 IN THE PIETERMARITZBURG REGION</v>
      </c>
      <c r="C4" s="501"/>
      <c r="D4" s="501"/>
      <c r="E4" s="501"/>
      <c r="F4" s="501"/>
      <c r="G4" s="501"/>
      <c r="H4" s="539"/>
      <c r="J4" s="5"/>
      <c r="K4" s="5"/>
      <c r="L4" s="4"/>
    </row>
    <row r="5" spans="2:17" ht="12.75" customHeight="1" x14ac:dyDescent="0.25">
      <c r="B5" s="500"/>
      <c r="C5" s="501"/>
      <c r="D5" s="501"/>
      <c r="E5" s="501"/>
      <c r="F5" s="501"/>
      <c r="G5" s="501"/>
      <c r="H5" s="539"/>
    </row>
    <row r="6" spans="2:17" ht="7.5" customHeight="1" x14ac:dyDescent="0.25">
      <c r="B6" s="502"/>
      <c r="C6" s="503"/>
      <c r="D6" s="503"/>
      <c r="E6" s="503"/>
      <c r="F6" s="503"/>
      <c r="G6" s="503"/>
      <c r="H6" s="540"/>
    </row>
    <row r="7" spans="2:17" ht="25.5" customHeight="1" x14ac:dyDescent="0.25">
      <c r="B7" s="576" t="s">
        <v>969</v>
      </c>
      <c r="C7" s="577"/>
      <c r="D7" s="577"/>
      <c r="E7" s="577"/>
      <c r="F7" s="577"/>
      <c r="G7" s="577"/>
      <c r="H7" s="578"/>
      <c r="K7" s="235"/>
    </row>
    <row r="8" spans="2:17" x14ac:dyDescent="0.25">
      <c r="B8" s="12" t="s">
        <v>970</v>
      </c>
      <c r="C8" s="579" t="s">
        <v>1</v>
      </c>
      <c r="D8" s="580"/>
      <c r="E8" s="581"/>
      <c r="F8" s="12" t="s">
        <v>951</v>
      </c>
      <c r="G8" s="580" t="s">
        <v>5</v>
      </c>
      <c r="H8" s="581"/>
      <c r="J8" s="56" t="s">
        <v>1420</v>
      </c>
      <c r="K8" s="584" t="e">
        <f>K9+K10+K11+K12+#REF!+K13+K14+K15+#REF!+#REF!+#REF!+K16+K17+K18+K19+K20+K21+K22+K23+K24+K25+K26+K27+K28+K29+K30+K31+K33+K32++K34+K35+K36+K37+K38+K39+K40+K41+K42+K43+K44+K45+K46+K47+K48+K49+K50+K51</f>
        <v>#REF!</v>
      </c>
      <c r="L8" s="530"/>
      <c r="M8" s="531"/>
      <c r="O8" s="145"/>
    </row>
    <row r="9" spans="2:17" x14ac:dyDescent="0.25">
      <c r="B9" s="23" t="str">
        <f>'C1.2'!B11</f>
        <v>C1.2</v>
      </c>
      <c r="C9" s="585" t="str">
        <f>'C1.2'!C11</f>
        <v>GENERAL REQUIREMENTS AND PAYMENT</v>
      </c>
      <c r="D9" s="586"/>
      <c r="E9" s="587"/>
      <c r="F9" s="43"/>
      <c r="G9" s="582">
        <f>K9</f>
        <v>700000</v>
      </c>
      <c r="H9" s="583"/>
      <c r="J9" s="56">
        <v>2</v>
      </c>
      <c r="K9" s="529">
        <f>'C1.2'!H1</f>
        <v>700000</v>
      </c>
      <c r="L9" s="530"/>
      <c r="M9" s="531"/>
      <c r="N9" s="529">
        <f>'C1.2'!K11</f>
        <v>0</v>
      </c>
      <c r="O9" s="530"/>
      <c r="P9" s="531"/>
      <c r="Q9" s="56">
        <f>K9+K10</f>
        <v>700000</v>
      </c>
    </row>
    <row r="10" spans="2:17" ht="12.75" customHeight="1" x14ac:dyDescent="0.25">
      <c r="B10" s="23" t="str">
        <f>'C1.3'!B11</f>
        <v>C1.3</v>
      </c>
      <c r="C10" s="529" t="str">
        <f>'C1.3'!C11</f>
        <v>CONTRACTOR'S SITE ESTABLISHMENT AND GENERAL OBLIGATIONS</v>
      </c>
      <c r="D10" s="530">
        <f>'C1.3'!E11</f>
        <v>0</v>
      </c>
      <c r="E10" s="531" t="e">
        <f>'C1.3'!#REF!</f>
        <v>#REF!</v>
      </c>
      <c r="F10" s="43"/>
      <c r="G10" s="582">
        <f t="shared" ref="G10:G23" si="0">K10</f>
        <v>0</v>
      </c>
      <c r="H10" s="583"/>
      <c r="J10" s="56">
        <v>1</v>
      </c>
      <c r="K10" s="522">
        <f>'C1.3'!H1</f>
        <v>0</v>
      </c>
      <c r="L10" s="523">
        <f>'C1.3'!I11</f>
        <v>0</v>
      </c>
      <c r="M10" s="524" t="e">
        <f>'C1.3'!#REF!</f>
        <v>#REF!</v>
      </c>
      <c r="N10" s="522">
        <f>'C1.3'!K11</f>
        <v>0</v>
      </c>
      <c r="O10" s="523">
        <f>'C1.3'!L11</f>
        <v>0</v>
      </c>
      <c r="P10" s="524" t="e">
        <f>'C1.3'!#REF!</f>
        <v>#REF!</v>
      </c>
      <c r="Q10" s="56">
        <f t="shared" ref="Q10:Q23" si="1">K10+K11</f>
        <v>200000</v>
      </c>
    </row>
    <row r="11" spans="2:17" ht="12.75" customHeight="1" x14ac:dyDescent="0.25">
      <c r="B11" s="23" t="str">
        <f>'C1.4'!B11</f>
        <v>C1.4</v>
      </c>
      <c r="C11" s="529" t="str">
        <f>'C1.4'!C11</f>
        <v>FACILITIES FOR THE ENGINEER</v>
      </c>
      <c r="D11" s="530">
        <f>'C1.4'!E11</f>
        <v>0</v>
      </c>
      <c r="E11" s="531" t="e">
        <f>'C1.4'!#REF!</f>
        <v>#REF!</v>
      </c>
      <c r="F11" s="43"/>
      <c r="G11" s="582">
        <f t="shared" si="0"/>
        <v>200000</v>
      </c>
      <c r="H11" s="583"/>
      <c r="J11" s="56">
        <v>4</v>
      </c>
      <c r="K11" s="522">
        <f>'C1.4'!H1</f>
        <v>200000</v>
      </c>
      <c r="L11" s="523">
        <f>'C1.4'!I11</f>
        <v>0</v>
      </c>
      <c r="M11" s="524" t="e">
        <f>'C1.4'!#REF!</f>
        <v>#REF!</v>
      </c>
      <c r="N11" s="522">
        <f>'C1.4'!K11</f>
        <v>0</v>
      </c>
      <c r="O11" s="523">
        <f>'C1.4'!L11</f>
        <v>0</v>
      </c>
      <c r="P11" s="524" t="e">
        <f>'C1.4'!#REF!</f>
        <v>#REF!</v>
      </c>
      <c r="Q11" s="56">
        <f t="shared" si="1"/>
        <v>225000</v>
      </c>
    </row>
    <row r="12" spans="2:17" ht="12.75" customHeight="1" x14ac:dyDescent="0.25">
      <c r="B12" s="23" t="str">
        <f>'C1.5'!B11</f>
        <v>C1.5</v>
      </c>
      <c r="C12" s="529" t="str">
        <f>'C1.5'!C11</f>
        <v>ACCOMMODATION OF TRAFFIC</v>
      </c>
      <c r="D12" s="530">
        <f>'C1.5'!E11</f>
        <v>0</v>
      </c>
      <c r="E12" s="531" t="e">
        <f>'C1.5'!#REF!</f>
        <v>#REF!</v>
      </c>
      <c r="F12" s="43"/>
      <c r="G12" s="582">
        <f t="shared" si="0"/>
        <v>25000</v>
      </c>
      <c r="H12" s="583"/>
      <c r="J12" s="56">
        <v>2</v>
      </c>
      <c r="K12" s="522">
        <f>'C1.5'!H1</f>
        <v>25000</v>
      </c>
      <c r="L12" s="523">
        <f>'C1.5'!I11</f>
        <v>0</v>
      </c>
      <c r="M12" s="524" t="e">
        <f>'C1.5'!#REF!</f>
        <v>#REF!</v>
      </c>
      <c r="N12" s="522">
        <f>'C1.5'!K11</f>
        <v>0</v>
      </c>
      <c r="O12" s="523">
        <f>'C1.5'!L11</f>
        <v>0</v>
      </c>
      <c r="P12" s="524" t="e">
        <f>'C1.5'!#REF!</f>
        <v>#REF!</v>
      </c>
      <c r="Q12" s="56" t="e">
        <f>K12+#REF!</f>
        <v>#REF!</v>
      </c>
    </row>
    <row r="13" spans="2:17" ht="12.75" customHeight="1" x14ac:dyDescent="0.25">
      <c r="B13" s="23" t="str">
        <f>'C1.7'!B11</f>
        <v>C1.7</v>
      </c>
      <c r="C13" s="529" t="str">
        <f>'C1.7'!C11</f>
        <v>LOADING AND HAULING</v>
      </c>
      <c r="D13" s="530">
        <f>'C1.7'!E11</f>
        <v>0</v>
      </c>
      <c r="E13" s="531" t="e">
        <f>'C1.7'!#REF!</f>
        <v>#REF!</v>
      </c>
      <c r="F13" s="43"/>
      <c r="G13" s="582">
        <f t="shared" si="0"/>
        <v>0</v>
      </c>
      <c r="H13" s="583"/>
      <c r="J13" s="56">
        <v>1</v>
      </c>
      <c r="K13" s="522">
        <f>'C1.7'!H1</f>
        <v>0</v>
      </c>
      <c r="L13" s="523">
        <f>'C1.7'!I11</f>
        <v>0</v>
      </c>
      <c r="M13" s="524" t="e">
        <f>'C1.7'!#REF!</f>
        <v>#REF!</v>
      </c>
      <c r="N13" s="522">
        <f>'C1.7'!K11</f>
        <v>0</v>
      </c>
      <c r="O13" s="523">
        <f>'C1.7'!L11</f>
        <v>0</v>
      </c>
      <c r="P13" s="524" t="e">
        <f>'C1.7'!#REF!</f>
        <v>#REF!</v>
      </c>
      <c r="Q13" s="56">
        <f t="shared" si="1"/>
        <v>20000</v>
      </c>
    </row>
    <row r="14" spans="2:17" ht="12.75" customHeight="1" x14ac:dyDescent="0.25">
      <c r="B14" s="23" t="str">
        <f>'C2.1'!B11</f>
        <v>C2.1</v>
      </c>
      <c r="C14" s="529" t="str">
        <f>'C2.1'!C11</f>
        <v>GENERAL REQUIREMENTS AND TRENCHING FOR SERVICES</v>
      </c>
      <c r="D14" s="530">
        <f>'C2.1'!E11</f>
        <v>0</v>
      </c>
      <c r="E14" s="531" t="e">
        <f>'C2.1'!#REF!</f>
        <v>#REF!</v>
      </c>
      <c r="F14" s="43"/>
      <c r="G14" s="582">
        <f t="shared" si="0"/>
        <v>20000</v>
      </c>
      <c r="H14" s="583"/>
      <c r="J14" s="56">
        <v>1</v>
      </c>
      <c r="K14" s="522">
        <f>'C2.1'!H1</f>
        <v>20000</v>
      </c>
      <c r="L14" s="523">
        <f>'C2.1'!I11</f>
        <v>0</v>
      </c>
      <c r="M14" s="524" t="e">
        <f>'C2.1'!#REF!</f>
        <v>#REF!</v>
      </c>
      <c r="N14" s="522">
        <f>'C2.1'!K11</f>
        <v>0</v>
      </c>
      <c r="O14" s="523">
        <f>'C2.1'!L11</f>
        <v>0</v>
      </c>
      <c r="P14" s="524" t="e">
        <f>'C2.1'!#REF!</f>
        <v>#REF!</v>
      </c>
      <c r="Q14" s="56">
        <f t="shared" si="1"/>
        <v>20000</v>
      </c>
    </row>
    <row r="15" spans="2:17" ht="12.75" customHeight="1" x14ac:dyDescent="0.25">
      <c r="B15" s="23" t="str">
        <f>'C2.2'!B11</f>
        <v>C2.2</v>
      </c>
      <c r="C15" s="529" t="str">
        <f>'C2.2'!C11</f>
        <v>DRY SERVICES</v>
      </c>
      <c r="D15" s="530">
        <f>'C2.2'!E11</f>
        <v>0</v>
      </c>
      <c r="E15" s="531" t="e">
        <f>'C2.2'!#REF!</f>
        <v>#REF!</v>
      </c>
      <c r="F15" s="43"/>
      <c r="G15" s="582">
        <f t="shared" si="0"/>
        <v>0</v>
      </c>
      <c r="H15" s="583"/>
      <c r="J15" s="56">
        <v>1</v>
      </c>
      <c r="K15" s="522">
        <f>'C2.2'!H1</f>
        <v>0</v>
      </c>
      <c r="L15" s="523">
        <f>'C2.2'!I11</f>
        <v>0</v>
      </c>
      <c r="M15" s="524" t="e">
        <f>'C2.2'!#REF!</f>
        <v>#REF!</v>
      </c>
      <c r="N15" s="522">
        <f>'C2.2'!K11</f>
        <v>0</v>
      </c>
      <c r="O15" s="523">
        <f>'C2.2'!L11</f>
        <v>0</v>
      </c>
      <c r="P15" s="524" t="e">
        <f>'C2.2'!#REF!</f>
        <v>#REF!</v>
      </c>
      <c r="Q15" s="56" t="e">
        <f>K15+#REF!</f>
        <v>#REF!</v>
      </c>
    </row>
    <row r="16" spans="2:17" ht="12.75" customHeight="1" x14ac:dyDescent="0.25">
      <c r="B16" s="23" t="str">
        <f>'C4.1'!B11</f>
        <v>C4.1</v>
      </c>
      <c r="C16" s="529" t="str">
        <f>'C4.1'!C11</f>
        <v>BORROW MATERIALS</v>
      </c>
      <c r="D16" s="530">
        <f>'C4.1'!E11</f>
        <v>0</v>
      </c>
      <c r="E16" s="531" t="e">
        <f>'C4.1'!#REF!</f>
        <v>#REF!</v>
      </c>
      <c r="F16" s="43"/>
      <c r="G16" s="582">
        <f t="shared" si="0"/>
        <v>0</v>
      </c>
      <c r="H16" s="583"/>
      <c r="J16" s="56">
        <v>1</v>
      </c>
      <c r="K16" s="522">
        <f>'C4.1'!H1</f>
        <v>0</v>
      </c>
      <c r="L16" s="523">
        <f>'C4.1'!I11</f>
        <v>0</v>
      </c>
      <c r="M16" s="524" t="e">
        <f>'C4.1'!#REF!</f>
        <v>#REF!</v>
      </c>
      <c r="N16" s="522">
        <f>'C4.1'!K11</f>
        <v>0</v>
      </c>
      <c r="O16" s="523">
        <f>'C4.1'!L11</f>
        <v>0</v>
      </c>
      <c r="P16" s="524" t="e">
        <f>'C4.1'!#REF!</f>
        <v>#REF!</v>
      </c>
      <c r="Q16" s="56">
        <f t="shared" si="1"/>
        <v>0</v>
      </c>
    </row>
    <row r="17" spans="2:17" ht="12.75" customHeight="1" x14ac:dyDescent="0.25">
      <c r="B17" s="23" t="str">
        <f>'C4.2'!B11</f>
        <v>C4.2</v>
      </c>
      <c r="C17" s="529" t="str">
        <f>'C4.2'!C11</f>
        <v>CUT MATERIALS</v>
      </c>
      <c r="D17" s="530">
        <f>'C4.2'!E11</f>
        <v>0</v>
      </c>
      <c r="E17" s="531" t="e">
        <f>'C4.2'!#REF!</f>
        <v>#REF!</v>
      </c>
      <c r="F17" s="43"/>
      <c r="G17" s="582">
        <f t="shared" si="0"/>
        <v>0</v>
      </c>
      <c r="H17" s="583"/>
      <c r="J17" s="56">
        <v>1</v>
      </c>
      <c r="K17" s="522">
        <f>'C4.2'!H1</f>
        <v>0</v>
      </c>
      <c r="L17" s="523">
        <f>'C4.2'!I11</f>
        <v>0</v>
      </c>
      <c r="M17" s="524" t="e">
        <f>'C4.2'!#REF!</f>
        <v>#REF!</v>
      </c>
      <c r="N17" s="522">
        <f>'C4.2'!K11</f>
        <v>0</v>
      </c>
      <c r="O17" s="523" t="str">
        <f>'C4.2'!L11</f>
        <v/>
      </c>
      <c r="P17" s="524" t="e">
        <f>'C4.2'!#REF!</f>
        <v>#REF!</v>
      </c>
      <c r="Q17" s="56">
        <f t="shared" si="1"/>
        <v>0</v>
      </c>
    </row>
    <row r="18" spans="2:17" ht="12.75" customHeight="1" x14ac:dyDescent="0.25">
      <c r="B18" s="23" t="str">
        <f>'C4.3'!B11</f>
        <v>C4.3</v>
      </c>
      <c r="C18" s="529" t="str">
        <f>'C4.3'!C11</f>
        <v>EXISTING ROAD MATERIALS</v>
      </c>
      <c r="D18" s="530" t="e">
        <f>'C4.3'!#REF!</f>
        <v>#REF!</v>
      </c>
      <c r="E18" s="531" t="e">
        <f>'C4.3'!#REF!</f>
        <v>#REF!</v>
      </c>
      <c r="F18" s="43"/>
      <c r="G18" s="582">
        <f t="shared" si="0"/>
        <v>0</v>
      </c>
      <c r="H18" s="583"/>
      <c r="J18" s="56">
        <v>1</v>
      </c>
      <c r="K18" s="522">
        <f>'C4.3'!H1</f>
        <v>0</v>
      </c>
      <c r="L18" s="523" t="e">
        <f>'C4.3'!#REF!</f>
        <v>#REF!</v>
      </c>
      <c r="M18" s="524" t="e">
        <f>'C4.3'!#REF!</f>
        <v>#REF!</v>
      </c>
      <c r="N18" s="522">
        <f>'C4.3'!K11</f>
        <v>0</v>
      </c>
      <c r="O18" s="523" t="e">
        <f>'C4.3'!#REF!</f>
        <v>#REF!</v>
      </c>
      <c r="P18" s="524" t="e">
        <f>'C4.3'!#REF!</f>
        <v>#REF!</v>
      </c>
      <c r="Q18" s="56">
        <f t="shared" si="1"/>
        <v>15000</v>
      </c>
    </row>
    <row r="19" spans="2:17" ht="12.75" customHeight="1" x14ac:dyDescent="0.25">
      <c r="B19" s="23" t="str">
        <f>'C4.4'!B11</f>
        <v>C4.4</v>
      </c>
      <c r="C19" s="529" t="str">
        <f>'C4.4'!C11</f>
        <v>COMMERCIAL MATERIALS</v>
      </c>
      <c r="D19" s="530" t="e">
        <f>'C4.4'!#REF!</f>
        <v>#REF!</v>
      </c>
      <c r="E19" s="531" t="e">
        <f>'C4.4'!#REF!</f>
        <v>#REF!</v>
      </c>
      <c r="F19" s="43"/>
      <c r="G19" s="582">
        <f t="shared" si="0"/>
        <v>15000</v>
      </c>
      <c r="H19" s="583"/>
      <c r="J19" s="56">
        <v>1</v>
      </c>
      <c r="K19" s="522">
        <f>'C4.4'!H1</f>
        <v>15000</v>
      </c>
      <c r="L19" s="523" t="e">
        <f>'C4.4'!#REF!</f>
        <v>#REF!</v>
      </c>
      <c r="M19" s="524" t="e">
        <f>'C4.4'!#REF!</f>
        <v>#REF!</v>
      </c>
      <c r="N19" s="522">
        <f>'C4.4'!K11</f>
        <v>0</v>
      </c>
      <c r="O19" s="523" t="e">
        <f>'C4.4'!#REF!</f>
        <v>#REF!</v>
      </c>
      <c r="P19" s="524" t="e">
        <f>'C4.4'!#REF!</f>
        <v>#REF!</v>
      </c>
      <c r="Q19" s="56">
        <f t="shared" si="1"/>
        <v>15000</v>
      </c>
    </row>
    <row r="20" spans="2:17" ht="12.75" customHeight="1" x14ac:dyDescent="0.25">
      <c r="B20" s="23" t="str">
        <f>'C5.1'!B11</f>
        <v>C5.1</v>
      </c>
      <c r="C20" s="529" t="str">
        <f>'C5.1'!C11</f>
        <v>ROADBED</v>
      </c>
      <c r="D20" s="530">
        <f>'C5.1'!E11</f>
        <v>0</v>
      </c>
      <c r="E20" s="531" t="e">
        <f>'C5.1'!#REF!</f>
        <v>#REF!</v>
      </c>
      <c r="F20" s="43"/>
      <c r="G20" s="582">
        <f t="shared" si="0"/>
        <v>0</v>
      </c>
      <c r="H20" s="583"/>
      <c r="J20" s="56">
        <v>1</v>
      </c>
      <c r="K20" s="522">
        <f>'C5.1'!H1</f>
        <v>0</v>
      </c>
      <c r="L20" s="523">
        <f>'C5.1'!I11</f>
        <v>0</v>
      </c>
      <c r="M20" s="524" t="e">
        <f>'C5.1'!#REF!</f>
        <v>#REF!</v>
      </c>
      <c r="N20" s="522">
        <f>'C5.1'!K11</f>
        <v>0</v>
      </c>
      <c r="O20" s="523">
        <f>'C5.1'!L11</f>
        <v>0</v>
      </c>
      <c r="P20" s="524" t="e">
        <f>'C5.1'!#REF!</f>
        <v>#REF!</v>
      </c>
      <c r="Q20" s="56">
        <f t="shared" si="1"/>
        <v>0</v>
      </c>
    </row>
    <row r="21" spans="2:17" ht="12.75" customHeight="1" x14ac:dyDescent="0.25">
      <c r="B21" s="23" t="str">
        <f>'C5.2'!B11</f>
        <v>C5.2</v>
      </c>
      <c r="C21" s="529" t="str">
        <f>'C5.2'!C11</f>
        <v>FILL</v>
      </c>
      <c r="D21" s="530">
        <f>'C5.2'!E11</f>
        <v>0</v>
      </c>
      <c r="E21" s="531" t="e">
        <f>'C5.2'!#REF!</f>
        <v>#REF!</v>
      </c>
      <c r="F21" s="43"/>
      <c r="G21" s="582">
        <f t="shared" si="0"/>
        <v>0</v>
      </c>
      <c r="H21" s="583"/>
      <c r="J21" s="56">
        <v>1</v>
      </c>
      <c r="K21" s="522">
        <f>'C5.2'!H1</f>
        <v>0</v>
      </c>
      <c r="L21" s="523">
        <f>'C5.2'!I11</f>
        <v>0</v>
      </c>
      <c r="M21" s="524" t="e">
        <f>'C5.2'!#REF!</f>
        <v>#REF!</v>
      </c>
      <c r="N21" s="522">
        <f>'C5.2'!K11</f>
        <v>0</v>
      </c>
      <c r="O21" s="523">
        <f>'C5.2'!L11</f>
        <v>0</v>
      </c>
      <c r="P21" s="524" t="e">
        <f>'C5.2'!#REF!</f>
        <v>#REF!</v>
      </c>
      <c r="Q21" s="56">
        <f t="shared" si="1"/>
        <v>0</v>
      </c>
    </row>
    <row r="22" spans="2:17" ht="12.75" customHeight="1" x14ac:dyDescent="0.25">
      <c r="B22" s="23" t="str">
        <f>'C5.3'!B11</f>
        <v>C5.3</v>
      </c>
      <c r="C22" s="529" t="str">
        <f>'C5.3'!C11</f>
        <v>ROAD PAVEMENT LAYERS</v>
      </c>
      <c r="D22" s="530">
        <f>'C5.3'!E11</f>
        <v>0</v>
      </c>
      <c r="E22" s="531" t="e">
        <f>'C5.3'!#REF!</f>
        <v>#REF!</v>
      </c>
      <c r="F22" s="43"/>
      <c r="G22" s="582">
        <f t="shared" si="0"/>
        <v>0</v>
      </c>
      <c r="H22" s="583"/>
      <c r="J22" s="56">
        <v>1</v>
      </c>
      <c r="K22" s="522">
        <f>'C5.3'!H1</f>
        <v>0</v>
      </c>
      <c r="L22" s="523">
        <f>'C5.3'!I11</f>
        <v>0</v>
      </c>
      <c r="M22" s="524" t="e">
        <f>'C5.3'!#REF!</f>
        <v>#REF!</v>
      </c>
      <c r="N22" s="522">
        <f>'C5.3'!K11</f>
        <v>0</v>
      </c>
      <c r="O22" s="523" t="str">
        <f>'C5.3'!L11</f>
        <v/>
      </c>
      <c r="P22" s="524" t="e">
        <f>'C5.3'!#REF!</f>
        <v>#REF!</v>
      </c>
      <c r="Q22" s="56">
        <f t="shared" si="1"/>
        <v>0</v>
      </c>
    </row>
    <row r="23" spans="2:17" ht="12.75" customHeight="1" x14ac:dyDescent="0.25">
      <c r="B23" s="23" t="str">
        <f>'C5.4'!B11</f>
        <v>C5.4</v>
      </c>
      <c r="C23" s="529" t="str">
        <f>'C5.4'!C11</f>
        <v>STABILISATION</v>
      </c>
      <c r="D23" s="530">
        <f>'C5.4'!E11</f>
        <v>0</v>
      </c>
      <c r="E23" s="531" t="e">
        <f>'C5.4'!#REF!</f>
        <v>#REF!</v>
      </c>
      <c r="F23" s="43"/>
      <c r="G23" s="582">
        <f t="shared" si="0"/>
        <v>0</v>
      </c>
      <c r="H23" s="583"/>
      <c r="J23" s="56">
        <v>1</v>
      </c>
      <c r="K23" s="522">
        <f>'C5.4'!H1</f>
        <v>0</v>
      </c>
      <c r="L23" s="523">
        <f>'C5.4'!I11</f>
        <v>0</v>
      </c>
      <c r="M23" s="524" t="e">
        <f>'C5.4'!#REF!</f>
        <v>#REF!</v>
      </c>
      <c r="N23" s="522">
        <f>'C5.4'!K11</f>
        <v>0</v>
      </c>
      <c r="O23" s="523">
        <f>'C5.4'!L11</f>
        <v>0</v>
      </c>
      <c r="P23" s="524" t="e">
        <f>'C5.4'!#REF!</f>
        <v>#REF!</v>
      </c>
      <c r="Q23" s="56">
        <f t="shared" si="1"/>
        <v>175000</v>
      </c>
    </row>
    <row r="24" spans="2:17" ht="25.2" customHeight="1" x14ac:dyDescent="0.25">
      <c r="B24" s="22" t="s">
        <v>376</v>
      </c>
      <c r="C24" s="529" t="s">
        <v>377</v>
      </c>
      <c r="D24" s="530"/>
      <c r="E24" s="531"/>
      <c r="F24" s="43" t="e" cm="1">
        <f t="array" ref="F24">PageA</f>
        <v>#NAME?</v>
      </c>
      <c r="G24" s="582">
        <f>'C20.1'!H1</f>
        <v>175000</v>
      </c>
      <c r="H24" s="583"/>
      <c r="J24" s="56">
        <v>1</v>
      </c>
      <c r="K24" s="522">
        <f>'C20.1'!H1</f>
        <v>175000</v>
      </c>
      <c r="L24" s="523">
        <f>'C5.4'!I12</f>
        <v>0</v>
      </c>
      <c r="M24" s="524" t="e">
        <f>'C5.4'!#REF!</f>
        <v>#REF!</v>
      </c>
      <c r="N24" s="522"/>
      <c r="O24" s="523"/>
      <c r="P24" s="524"/>
    </row>
    <row r="25" spans="2:17" x14ac:dyDescent="0.25">
      <c r="B25" s="23"/>
      <c r="C25" s="522"/>
      <c r="D25" s="523"/>
      <c r="E25" s="524"/>
      <c r="F25" s="43"/>
      <c r="G25" s="588"/>
      <c r="H25" s="589"/>
      <c r="K25" s="522"/>
      <c r="L25" s="523"/>
      <c r="M25" s="524"/>
      <c r="N25" s="522"/>
      <c r="O25" s="523"/>
      <c r="P25" s="524"/>
    </row>
    <row r="26" spans="2:17" x14ac:dyDescent="0.25">
      <c r="B26" s="23"/>
      <c r="C26" s="522"/>
      <c r="D26" s="523"/>
      <c r="E26" s="524"/>
      <c r="F26" s="43"/>
      <c r="G26" s="588"/>
      <c r="H26" s="589"/>
      <c r="K26" s="522"/>
      <c r="L26" s="523"/>
      <c r="M26" s="524"/>
      <c r="N26" s="522"/>
      <c r="O26" s="523"/>
      <c r="P26" s="524"/>
    </row>
    <row r="27" spans="2:17" x14ac:dyDescent="0.25">
      <c r="B27" s="23"/>
      <c r="C27" s="522"/>
      <c r="D27" s="523"/>
      <c r="E27" s="524"/>
      <c r="F27" s="43"/>
      <c r="G27" s="588"/>
      <c r="H27" s="589"/>
      <c r="K27" s="522"/>
      <c r="L27" s="523"/>
      <c r="M27" s="524"/>
      <c r="N27" s="522"/>
      <c r="O27" s="523"/>
      <c r="P27" s="524"/>
    </row>
    <row r="28" spans="2:17" x14ac:dyDescent="0.25">
      <c r="B28" s="23"/>
      <c r="C28" s="522"/>
      <c r="D28" s="523"/>
      <c r="E28" s="524"/>
      <c r="F28" s="43"/>
      <c r="G28" s="588"/>
      <c r="H28" s="589"/>
      <c r="K28" s="522"/>
      <c r="L28" s="523"/>
      <c r="M28" s="524"/>
      <c r="N28" s="522"/>
      <c r="O28" s="523"/>
      <c r="P28" s="524"/>
    </row>
    <row r="29" spans="2:17" x14ac:dyDescent="0.25">
      <c r="B29" s="23"/>
      <c r="C29" s="522"/>
      <c r="D29" s="523"/>
      <c r="E29" s="524"/>
      <c r="F29" s="43"/>
      <c r="G29" s="588"/>
      <c r="H29" s="589"/>
      <c r="K29" s="522"/>
      <c r="L29" s="523"/>
      <c r="M29" s="524"/>
      <c r="N29" s="522"/>
      <c r="O29" s="523"/>
      <c r="P29" s="524"/>
    </row>
    <row r="30" spans="2:17" x14ac:dyDescent="0.25">
      <c r="B30" s="23"/>
      <c r="C30" s="522"/>
      <c r="D30" s="523"/>
      <c r="E30" s="524"/>
      <c r="F30" s="43"/>
      <c r="G30" s="588"/>
      <c r="H30" s="589"/>
      <c r="K30" s="522"/>
      <c r="L30" s="523"/>
      <c r="M30" s="524"/>
      <c r="N30" s="522"/>
      <c r="O30" s="523"/>
      <c r="P30" s="524"/>
    </row>
    <row r="31" spans="2:17" x14ac:dyDescent="0.25">
      <c r="B31" s="23"/>
      <c r="C31" s="522"/>
      <c r="D31" s="523"/>
      <c r="E31" s="524"/>
      <c r="F31" s="43"/>
      <c r="G31" s="588"/>
      <c r="H31" s="589"/>
      <c r="K31" s="522"/>
      <c r="L31" s="523"/>
      <c r="M31" s="524"/>
      <c r="N31" s="522"/>
      <c r="O31" s="523"/>
      <c r="P31" s="524"/>
    </row>
    <row r="32" spans="2:17" x14ac:dyDescent="0.25">
      <c r="B32" s="23"/>
      <c r="C32" s="522"/>
      <c r="D32" s="523"/>
      <c r="E32" s="524"/>
      <c r="F32" s="43"/>
      <c r="G32" s="588"/>
      <c r="H32" s="589"/>
      <c r="K32" s="522"/>
      <c r="L32" s="523"/>
      <c r="M32" s="524"/>
      <c r="N32" s="522"/>
      <c r="O32" s="523"/>
      <c r="P32" s="524"/>
    </row>
    <row r="33" spans="2:16" ht="13.2" customHeight="1" x14ac:dyDescent="0.25">
      <c r="B33" s="23"/>
      <c r="C33" s="522"/>
      <c r="D33" s="523"/>
      <c r="E33" s="524"/>
      <c r="F33" s="43"/>
      <c r="G33" s="588"/>
      <c r="H33" s="589"/>
      <c r="K33" s="522"/>
      <c r="L33" s="523"/>
      <c r="M33" s="524"/>
      <c r="N33" s="522"/>
      <c r="O33" s="523"/>
      <c r="P33" s="524"/>
    </row>
    <row r="34" spans="2:16" x14ac:dyDescent="0.25">
      <c r="B34" s="23"/>
      <c r="C34" s="522"/>
      <c r="D34" s="523"/>
      <c r="E34" s="524"/>
      <c r="F34" s="43"/>
      <c r="G34" s="588"/>
      <c r="H34" s="589"/>
      <c r="K34" s="105"/>
      <c r="L34" s="57"/>
      <c r="M34" s="57"/>
      <c r="N34" s="57"/>
      <c r="O34" s="57"/>
      <c r="P34" s="57"/>
    </row>
    <row r="35" spans="2:16" ht="13.2" customHeight="1" x14ac:dyDescent="0.25">
      <c r="B35" s="23"/>
      <c r="C35" s="522"/>
      <c r="D35" s="523"/>
      <c r="E35" s="524"/>
      <c r="F35" s="43"/>
      <c r="G35" s="588"/>
      <c r="H35" s="589"/>
      <c r="K35" s="23"/>
      <c r="L35" s="57"/>
      <c r="M35" s="57"/>
      <c r="N35" s="57"/>
      <c r="O35" s="57"/>
      <c r="P35" s="57"/>
    </row>
    <row r="36" spans="2:16" x14ac:dyDescent="0.25">
      <c r="B36" s="23"/>
      <c r="C36" s="522"/>
      <c r="D36" s="523"/>
      <c r="E36" s="524"/>
      <c r="F36" s="43"/>
      <c r="G36" s="588"/>
      <c r="H36" s="589"/>
      <c r="K36" s="23"/>
      <c r="L36" s="57"/>
      <c r="M36" s="57"/>
      <c r="N36" s="57"/>
      <c r="O36" s="57"/>
      <c r="P36" s="57"/>
    </row>
    <row r="37" spans="2:16" x14ac:dyDescent="0.25">
      <c r="B37" s="23"/>
      <c r="C37" s="522"/>
      <c r="D37" s="523"/>
      <c r="E37" s="524"/>
      <c r="F37" s="43"/>
      <c r="G37" s="588"/>
      <c r="H37" s="589"/>
      <c r="K37" s="23"/>
      <c r="L37" s="57"/>
      <c r="M37" s="57"/>
      <c r="N37" s="57"/>
      <c r="O37" s="57"/>
      <c r="P37" s="57"/>
    </row>
    <row r="38" spans="2:16" x14ac:dyDescent="0.25">
      <c r="B38" s="23"/>
      <c r="C38" s="522"/>
      <c r="D38" s="523"/>
      <c r="E38" s="524"/>
      <c r="F38" s="43"/>
      <c r="G38" s="588"/>
      <c r="H38" s="589"/>
      <c r="K38" s="23"/>
      <c r="L38" s="57"/>
      <c r="M38" s="57"/>
      <c r="N38" s="57"/>
      <c r="O38" s="57"/>
      <c r="P38" s="57"/>
    </row>
    <row r="39" spans="2:16" x14ac:dyDescent="0.25">
      <c r="B39" s="23"/>
      <c r="C39" s="522"/>
      <c r="D39" s="523"/>
      <c r="E39" s="524"/>
      <c r="F39" s="43"/>
      <c r="G39" s="588"/>
      <c r="H39" s="589"/>
      <c r="K39" s="23"/>
      <c r="L39" s="57"/>
      <c r="M39" s="57"/>
      <c r="N39" s="57"/>
      <c r="O39" s="57"/>
      <c r="P39" s="57"/>
    </row>
    <row r="40" spans="2:16" x14ac:dyDescent="0.25">
      <c r="B40" s="23"/>
      <c r="C40" s="522"/>
      <c r="D40" s="523"/>
      <c r="E40" s="524"/>
      <c r="F40" s="43"/>
      <c r="G40" s="588"/>
      <c r="H40" s="589"/>
      <c r="K40" s="23"/>
      <c r="L40" s="57"/>
      <c r="M40" s="57"/>
      <c r="N40" s="57"/>
      <c r="O40" s="57"/>
      <c r="P40" s="57"/>
    </row>
    <row r="41" spans="2:16" ht="25.2" customHeight="1" x14ac:dyDescent="0.25">
      <c r="B41" s="23"/>
      <c r="C41" s="522"/>
      <c r="D41" s="523"/>
      <c r="E41" s="524"/>
      <c r="F41" s="43"/>
      <c r="G41" s="588"/>
      <c r="H41" s="589"/>
      <c r="K41" s="23"/>
      <c r="L41" s="57"/>
      <c r="M41" s="57"/>
      <c r="N41" s="57"/>
      <c r="O41" s="57"/>
      <c r="P41" s="57"/>
    </row>
    <row r="42" spans="2:16" x14ac:dyDescent="0.25">
      <c r="B42" s="23"/>
      <c r="C42" s="522"/>
      <c r="D42" s="523"/>
      <c r="E42" s="524"/>
      <c r="F42" s="43"/>
      <c r="G42" s="588"/>
      <c r="H42" s="589"/>
      <c r="K42" s="23"/>
      <c r="L42" s="57"/>
      <c r="M42" s="57"/>
      <c r="N42" s="57"/>
      <c r="O42" s="57"/>
      <c r="P42" s="57"/>
    </row>
    <row r="43" spans="2:16" x14ac:dyDescent="0.25">
      <c r="B43" s="23"/>
      <c r="C43" s="522"/>
      <c r="D43" s="523"/>
      <c r="E43" s="524"/>
      <c r="F43" s="43"/>
      <c r="G43" s="588"/>
      <c r="H43" s="589"/>
      <c r="K43" s="23"/>
      <c r="L43" s="57"/>
      <c r="M43" s="57"/>
      <c r="N43" s="57"/>
      <c r="O43" s="57"/>
      <c r="P43" s="57"/>
    </row>
    <row r="44" spans="2:16" x14ac:dyDescent="0.25">
      <c r="B44" s="23"/>
      <c r="C44" s="522"/>
      <c r="D44" s="523"/>
      <c r="E44" s="524"/>
      <c r="F44" s="43"/>
      <c r="G44" s="588"/>
      <c r="H44" s="589"/>
      <c r="K44" s="23"/>
      <c r="L44" s="57"/>
      <c r="M44" s="57"/>
      <c r="N44" s="57"/>
      <c r="O44" s="57"/>
      <c r="P44" s="57"/>
    </row>
    <row r="45" spans="2:16" x14ac:dyDescent="0.25">
      <c r="B45" s="23"/>
      <c r="C45" s="522"/>
      <c r="D45" s="523"/>
      <c r="E45" s="524"/>
      <c r="F45" s="43"/>
      <c r="G45" s="588"/>
      <c r="H45" s="589"/>
      <c r="K45" s="23"/>
      <c r="L45" s="57"/>
      <c r="M45" s="57"/>
      <c r="N45" s="57"/>
      <c r="O45" s="57"/>
      <c r="P45" s="57"/>
    </row>
    <row r="46" spans="2:16" x14ac:dyDescent="0.25">
      <c r="B46" s="23"/>
      <c r="C46" s="522"/>
      <c r="D46" s="523"/>
      <c r="E46" s="524"/>
      <c r="F46" s="43"/>
      <c r="G46" s="588"/>
      <c r="H46" s="589"/>
      <c r="K46" s="23"/>
      <c r="L46" s="57"/>
      <c r="M46" s="57"/>
      <c r="N46" s="57"/>
      <c r="O46" s="57"/>
      <c r="P46" s="57"/>
    </row>
    <row r="47" spans="2:16" ht="25.2" customHeight="1" x14ac:dyDescent="0.25">
      <c r="B47" s="23"/>
      <c r="C47" s="522"/>
      <c r="D47" s="523"/>
      <c r="E47" s="524"/>
      <c r="F47" s="43"/>
      <c r="G47" s="588"/>
      <c r="H47" s="589"/>
      <c r="K47" s="23"/>
    </row>
    <row r="48" spans="2:16" x14ac:dyDescent="0.25">
      <c r="B48" s="23"/>
      <c r="C48" s="522"/>
      <c r="D48" s="523"/>
      <c r="E48" s="524"/>
      <c r="F48" s="43"/>
      <c r="G48" s="588"/>
      <c r="H48" s="589"/>
      <c r="K48" s="23"/>
    </row>
    <row r="49" spans="2:11" x14ac:dyDescent="0.25">
      <c r="B49" s="23"/>
      <c r="C49" s="522"/>
      <c r="D49" s="523"/>
      <c r="E49" s="524"/>
      <c r="F49" s="43"/>
      <c r="G49" s="588"/>
      <c r="H49" s="589"/>
      <c r="K49" s="23"/>
    </row>
    <row r="50" spans="2:11" x14ac:dyDescent="0.25">
      <c r="B50" s="23"/>
      <c r="C50" s="522"/>
      <c r="D50" s="523"/>
      <c r="E50" s="524"/>
      <c r="F50" s="43"/>
      <c r="G50" s="588"/>
      <c r="H50" s="589"/>
      <c r="K50" s="23"/>
    </row>
    <row r="51" spans="2:11" x14ac:dyDescent="0.25">
      <c r="B51" s="23"/>
      <c r="C51" s="522"/>
      <c r="D51" s="523"/>
      <c r="E51" s="524"/>
      <c r="F51" s="43"/>
      <c r="G51" s="588"/>
      <c r="H51" s="589"/>
      <c r="K51" s="23"/>
    </row>
    <row r="52" spans="2:11" x14ac:dyDescent="0.25">
      <c r="B52" s="23"/>
      <c r="C52" s="522"/>
      <c r="D52" s="523"/>
      <c r="E52" s="524"/>
      <c r="F52" s="43"/>
      <c r="G52" s="526"/>
      <c r="H52" s="513"/>
    </row>
    <row r="53" spans="2:11" x14ac:dyDescent="0.25">
      <c r="B53" s="23"/>
      <c r="C53" s="522"/>
      <c r="D53" s="523"/>
      <c r="E53" s="524"/>
      <c r="F53" s="43"/>
      <c r="G53" s="526"/>
      <c r="H53" s="513"/>
    </row>
    <row r="54" spans="2:11" x14ac:dyDescent="0.25">
      <c r="B54" s="23"/>
      <c r="C54" s="522"/>
      <c r="D54" s="523"/>
      <c r="E54" s="524"/>
      <c r="F54" s="43"/>
      <c r="G54" s="526"/>
      <c r="H54" s="513"/>
    </row>
    <row r="55" spans="2:11" x14ac:dyDescent="0.25">
      <c r="B55" s="160"/>
      <c r="C55" s="592"/>
      <c r="D55" s="593"/>
      <c r="E55" s="594"/>
      <c r="F55" s="157"/>
      <c r="G55" s="595"/>
      <c r="H55" s="514"/>
    </row>
    <row r="56" spans="2:11" s="31" customFormat="1" ht="19.5" customHeight="1" x14ac:dyDescent="0.25">
      <c r="B56" s="532" t="s">
        <v>1007</v>
      </c>
      <c r="C56" s="533"/>
      <c r="D56" s="533"/>
      <c r="E56" s="533"/>
      <c r="F56" s="533"/>
      <c r="G56" s="590">
        <f>SUM(G9:H55)</f>
        <v>1135000</v>
      </c>
      <c r="H56" s="591"/>
      <c r="I56" s="37"/>
    </row>
  </sheetData>
  <mergeCells count="153">
    <mergeCell ref="B56:F56"/>
    <mergeCell ref="G56:H56"/>
    <mergeCell ref="C53:E53"/>
    <mergeCell ref="G53:H53"/>
    <mergeCell ref="C54:E54"/>
    <mergeCell ref="G54:H54"/>
    <mergeCell ref="C55:E55"/>
    <mergeCell ref="G55:H55"/>
    <mergeCell ref="C50:E50"/>
    <mergeCell ref="G50:H50"/>
    <mergeCell ref="C51:E51"/>
    <mergeCell ref="G51:H51"/>
    <mergeCell ref="C52:E52"/>
    <mergeCell ref="G52:H52"/>
    <mergeCell ref="C47:E47"/>
    <mergeCell ref="G47:H47"/>
    <mergeCell ref="C48:E48"/>
    <mergeCell ref="G48:H48"/>
    <mergeCell ref="C49:E49"/>
    <mergeCell ref="G49:H49"/>
    <mergeCell ref="C44:E44"/>
    <mergeCell ref="G44:H44"/>
    <mergeCell ref="C45:E45"/>
    <mergeCell ref="G45:H45"/>
    <mergeCell ref="C46:E46"/>
    <mergeCell ref="G46:H46"/>
    <mergeCell ref="C41:E41"/>
    <mergeCell ref="G41:H41"/>
    <mergeCell ref="C42:E42"/>
    <mergeCell ref="G42:H42"/>
    <mergeCell ref="C43:E43"/>
    <mergeCell ref="G43:H43"/>
    <mergeCell ref="C38:E38"/>
    <mergeCell ref="G38:H38"/>
    <mergeCell ref="C39:E39"/>
    <mergeCell ref="G39:H39"/>
    <mergeCell ref="C40:E40"/>
    <mergeCell ref="G40:H40"/>
    <mergeCell ref="C35:E35"/>
    <mergeCell ref="G35:H35"/>
    <mergeCell ref="C36:E36"/>
    <mergeCell ref="G36:H36"/>
    <mergeCell ref="C37:E37"/>
    <mergeCell ref="G37:H37"/>
    <mergeCell ref="C33:E33"/>
    <mergeCell ref="G33:H33"/>
    <mergeCell ref="K33:M33"/>
    <mergeCell ref="N33:P33"/>
    <mergeCell ref="C34:E34"/>
    <mergeCell ref="G34:H34"/>
    <mergeCell ref="C31:E31"/>
    <mergeCell ref="G31:H31"/>
    <mergeCell ref="K31:M31"/>
    <mergeCell ref="N31:P31"/>
    <mergeCell ref="C32:E32"/>
    <mergeCell ref="G32:H32"/>
    <mergeCell ref="K32:M32"/>
    <mergeCell ref="N32:P32"/>
    <mergeCell ref="C29:E29"/>
    <mergeCell ref="G29:H29"/>
    <mergeCell ref="K29:M29"/>
    <mergeCell ref="N29:P29"/>
    <mergeCell ref="C30:E30"/>
    <mergeCell ref="G30:H30"/>
    <mergeCell ref="K30:M30"/>
    <mergeCell ref="N30:P30"/>
    <mergeCell ref="C27:E27"/>
    <mergeCell ref="G27:H27"/>
    <mergeCell ref="K27:M27"/>
    <mergeCell ref="N27:P27"/>
    <mergeCell ref="C28:E28"/>
    <mergeCell ref="G28:H28"/>
    <mergeCell ref="K28:M28"/>
    <mergeCell ref="N28:P28"/>
    <mergeCell ref="C25:E25"/>
    <mergeCell ref="G25:H25"/>
    <mergeCell ref="K25:M25"/>
    <mergeCell ref="N25:P25"/>
    <mergeCell ref="C26:E26"/>
    <mergeCell ref="G26:H26"/>
    <mergeCell ref="K26:M26"/>
    <mergeCell ref="N26:P26"/>
    <mergeCell ref="C23:E23"/>
    <mergeCell ref="G23:H23"/>
    <mergeCell ref="K23:M23"/>
    <mergeCell ref="N23:P23"/>
    <mergeCell ref="C24:E24"/>
    <mergeCell ref="G24:H24"/>
    <mergeCell ref="K24:M24"/>
    <mergeCell ref="N24:P24"/>
    <mergeCell ref="C21:E21"/>
    <mergeCell ref="G21:H21"/>
    <mergeCell ref="K21:M21"/>
    <mergeCell ref="N21:P21"/>
    <mergeCell ref="C22:E22"/>
    <mergeCell ref="G22:H22"/>
    <mergeCell ref="K22:M22"/>
    <mergeCell ref="N22:P22"/>
    <mergeCell ref="C19:E19"/>
    <mergeCell ref="G19:H19"/>
    <mergeCell ref="K19:M19"/>
    <mergeCell ref="N19:P19"/>
    <mergeCell ref="C20:E20"/>
    <mergeCell ref="G20:H20"/>
    <mergeCell ref="K20:M20"/>
    <mergeCell ref="N20:P20"/>
    <mergeCell ref="C17:E17"/>
    <mergeCell ref="G17:H17"/>
    <mergeCell ref="K17:M17"/>
    <mergeCell ref="N17:P17"/>
    <mergeCell ref="C18:E18"/>
    <mergeCell ref="G18:H18"/>
    <mergeCell ref="K18:M18"/>
    <mergeCell ref="N18:P18"/>
    <mergeCell ref="C16:E16"/>
    <mergeCell ref="G16:H16"/>
    <mergeCell ref="K16:M16"/>
    <mergeCell ref="N16:P16"/>
    <mergeCell ref="C14:E14"/>
    <mergeCell ref="G14:H14"/>
    <mergeCell ref="K14:M14"/>
    <mergeCell ref="N14:P14"/>
    <mergeCell ref="C15:E15"/>
    <mergeCell ref="G15:H15"/>
    <mergeCell ref="K15:M15"/>
    <mergeCell ref="N15:P15"/>
    <mergeCell ref="C13:E13"/>
    <mergeCell ref="G13:H13"/>
    <mergeCell ref="K13:M13"/>
    <mergeCell ref="N13:P13"/>
    <mergeCell ref="N11:P11"/>
    <mergeCell ref="C12:E12"/>
    <mergeCell ref="G12:H12"/>
    <mergeCell ref="K12:M12"/>
    <mergeCell ref="N12:P12"/>
    <mergeCell ref="K8:M8"/>
    <mergeCell ref="C9:E9"/>
    <mergeCell ref="G9:H9"/>
    <mergeCell ref="K9:M9"/>
    <mergeCell ref="N9:P9"/>
    <mergeCell ref="C10:E10"/>
    <mergeCell ref="G10:H10"/>
    <mergeCell ref="K10:M10"/>
    <mergeCell ref="N10:P10"/>
    <mergeCell ref="F1:H1"/>
    <mergeCell ref="B4:G6"/>
    <mergeCell ref="H4:H6"/>
    <mergeCell ref="B7:H7"/>
    <mergeCell ref="C8:E8"/>
    <mergeCell ref="G8:H8"/>
    <mergeCell ref="C11:E11"/>
    <mergeCell ref="G11:H11"/>
    <mergeCell ref="K11:M11"/>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2D469-348B-4187-A2C0-A9B5D20CF0C8}">
  <sheetPr>
    <tabColor theme="3" tint="0.59999389629810485"/>
  </sheetPr>
  <dimension ref="B1:O1048492"/>
  <sheetViews>
    <sheetView view="pageBreakPreview" zoomScaleNormal="100" zoomScaleSheetLayoutView="100" zoomScalePageLayoutView="150" workbookViewId="0">
      <selection activeCell="F1" sqref="F1:H1"/>
    </sheetView>
  </sheetViews>
  <sheetFormatPr defaultColWidth="8.6640625" defaultRowHeight="13.2" x14ac:dyDescent="0.25"/>
  <cols>
    <col min="1" max="1" width="0.6640625" style="56" customWidth="1"/>
    <col min="2" max="2" width="11.5546875" style="59" customWidth="1"/>
    <col min="3" max="3" width="45.5546875" style="57" customWidth="1"/>
    <col min="4" max="4" width="13.5546875" style="57" customWidth="1"/>
    <col min="5" max="5" width="5.5546875" style="144" customWidth="1"/>
    <col min="6" max="7" width="15.5546875" style="56" customWidth="1"/>
    <col min="8" max="8" width="15.5546875" style="145" customWidth="1"/>
    <col min="9" max="9" width="0.6640625" style="56" customWidth="1"/>
    <col min="10" max="10" width="8.6640625" style="56"/>
    <col min="11" max="11" width="15.44140625" style="56" customWidth="1"/>
    <col min="12" max="12" width="12.5546875" style="56" customWidth="1"/>
    <col min="13" max="13" width="9.44140625" style="56" customWidth="1"/>
    <col min="14" max="16384" width="8.6640625" style="56"/>
  </cols>
  <sheetData>
    <row r="1" spans="2:15" x14ac:dyDescent="0.25">
      <c r="B1" s="2" t="str">
        <f>Client1</f>
        <v>Province of KwaZulu-Natal</v>
      </c>
      <c r="D1" s="4"/>
      <c r="E1" s="4"/>
      <c r="F1" s="510" t="str">
        <f>"Contract No. "&amp;ContractNo</f>
        <v>Contract No. ZNB02215/00000/00/HOD/INF/23/T</v>
      </c>
      <c r="G1" s="510"/>
      <c r="H1" s="510"/>
    </row>
    <row r="2" spans="2:15" s="1" customFormat="1" ht="18" customHeight="1" x14ac:dyDescent="0.25">
      <c r="B2" s="96" t="str">
        <f>Client2</f>
        <v>Department of Transport</v>
      </c>
      <c r="C2" s="57"/>
      <c r="D2" s="4"/>
      <c r="E2" s="4"/>
      <c r="F2" s="4"/>
      <c r="H2" s="5"/>
      <c r="L2" s="4"/>
    </row>
    <row r="3" spans="2:15" s="1" customFormat="1" ht="16.5" customHeight="1" x14ac:dyDescent="0.25">
      <c r="B3" s="84"/>
      <c r="C3" s="99"/>
      <c r="D3" s="85"/>
      <c r="E3" s="85"/>
      <c r="F3" s="85"/>
      <c r="G3" s="86"/>
      <c r="H3" s="98"/>
      <c r="J3" s="5"/>
      <c r="K3" s="5"/>
      <c r="L3" s="4"/>
    </row>
    <row r="4" spans="2:15" s="1" customFormat="1" ht="7.5" customHeight="1" x14ac:dyDescent="0.25">
      <c r="B4" s="500" t="str">
        <f>ContractDescription</f>
        <v>UPGRADING OF MAIN ROAD P8/3 FROM GRAVEL TO BLACKTOP BETWEEN KM 17.560 AND KM 24.221 IN THE PIETERMARITZBURG REGION</v>
      </c>
      <c r="C4" s="501"/>
      <c r="D4" s="501"/>
      <c r="E4" s="501"/>
      <c r="F4" s="501"/>
      <c r="G4" s="501"/>
      <c r="H4" s="539"/>
      <c r="J4" s="5"/>
      <c r="K4" s="5"/>
      <c r="L4" s="4"/>
    </row>
    <row r="5" spans="2:15" ht="12.75" customHeight="1" x14ac:dyDescent="0.25">
      <c r="B5" s="500"/>
      <c r="C5" s="501"/>
      <c r="D5" s="501"/>
      <c r="E5" s="501"/>
      <c r="F5" s="501"/>
      <c r="G5" s="501"/>
      <c r="H5" s="539"/>
    </row>
    <row r="6" spans="2:15" ht="7.5" customHeight="1" x14ac:dyDescent="0.25">
      <c r="B6" s="502"/>
      <c r="C6" s="503"/>
      <c r="D6" s="503"/>
      <c r="E6" s="503"/>
      <c r="F6" s="503"/>
      <c r="G6" s="503"/>
      <c r="H6" s="540"/>
    </row>
    <row r="7" spans="2:15" ht="25.5" customHeight="1" x14ac:dyDescent="0.25">
      <c r="B7" s="598" t="str">
        <f>_xlfn.CONCAT("SCHEDULE"," ",B9," : ",C9)</f>
        <v>SCHEDULE E : EXPANDED PUBLIC WORKS PROGRAMME (EPWP)</v>
      </c>
      <c r="C7" s="599"/>
      <c r="D7" s="599"/>
      <c r="E7" s="599"/>
      <c r="F7" s="599"/>
      <c r="G7" s="599"/>
      <c r="H7" s="600"/>
    </row>
    <row r="8" spans="2:15" x14ac:dyDescent="0.25">
      <c r="B8" s="12" t="s">
        <v>970</v>
      </c>
      <c r="C8" s="579" t="s">
        <v>1</v>
      </c>
      <c r="D8" s="580"/>
      <c r="E8" s="581"/>
      <c r="F8" s="12" t="s">
        <v>951</v>
      </c>
      <c r="G8" s="580" t="s">
        <v>5</v>
      </c>
      <c r="H8" s="581"/>
      <c r="O8" s="145"/>
    </row>
    <row r="9" spans="2:15" x14ac:dyDescent="0.25">
      <c r="B9" s="22" t="s">
        <v>1021</v>
      </c>
      <c r="C9" s="529" t="str">
        <f>'Chapter E'!C11</f>
        <v>EXPANDED PUBLIC WORKS PROGRAMME (EPWP)</v>
      </c>
      <c r="D9" s="530"/>
      <c r="E9" s="531"/>
      <c r="F9" s="43"/>
      <c r="G9" s="596">
        <f>'Chapter E'!H66</f>
        <v>3050000</v>
      </c>
      <c r="H9" s="597"/>
      <c r="O9" s="145"/>
    </row>
    <row r="10" spans="2:15" ht="12.75" customHeight="1" x14ac:dyDescent="0.25">
      <c r="B10" s="23"/>
      <c r="C10" s="522"/>
      <c r="D10" s="523"/>
      <c r="E10" s="524"/>
      <c r="F10" s="43"/>
      <c r="G10" s="526"/>
      <c r="H10" s="513"/>
    </row>
    <row r="11" spans="2:15" ht="12.75" customHeight="1" x14ac:dyDescent="0.25">
      <c r="B11" s="23"/>
      <c r="C11" s="522"/>
      <c r="D11" s="523"/>
      <c r="E11" s="524"/>
      <c r="F11" s="43"/>
      <c r="G11" s="526"/>
      <c r="H11" s="513"/>
    </row>
    <row r="12" spans="2:15" ht="12.75" customHeight="1" x14ac:dyDescent="0.25">
      <c r="B12" s="23"/>
      <c r="C12" s="522"/>
      <c r="D12" s="523"/>
      <c r="E12" s="524"/>
      <c r="F12" s="43"/>
      <c r="G12" s="526"/>
      <c r="H12" s="513"/>
    </row>
    <row r="13" spans="2:15" ht="12.75" customHeight="1" x14ac:dyDescent="0.25">
      <c r="B13" s="23"/>
      <c r="C13" s="522"/>
      <c r="D13" s="523"/>
      <c r="E13" s="524"/>
      <c r="F13" s="43"/>
      <c r="G13" s="526"/>
      <c r="H13" s="513"/>
    </row>
    <row r="14" spans="2:15" ht="12.75" customHeight="1" x14ac:dyDescent="0.25">
      <c r="B14" s="23"/>
      <c r="C14" s="522"/>
      <c r="D14" s="523"/>
      <c r="E14" s="524"/>
      <c r="F14" s="43"/>
      <c r="G14" s="526"/>
      <c r="H14" s="513"/>
    </row>
    <row r="15" spans="2:15" ht="12.75" customHeight="1" x14ac:dyDescent="0.25">
      <c r="B15" s="23"/>
      <c r="C15" s="522"/>
      <c r="D15" s="523"/>
      <c r="E15" s="524"/>
      <c r="F15" s="43"/>
      <c r="G15" s="526"/>
      <c r="H15" s="513"/>
    </row>
    <row r="16" spans="2:15" ht="12.75" customHeight="1" x14ac:dyDescent="0.25">
      <c r="B16" s="23"/>
      <c r="C16" s="522"/>
      <c r="D16" s="523"/>
      <c r="E16" s="524"/>
      <c r="F16" s="43"/>
      <c r="G16" s="526"/>
      <c r="H16" s="513"/>
    </row>
    <row r="17" spans="2:8" ht="12.75" customHeight="1" x14ac:dyDescent="0.25">
      <c r="B17" s="23"/>
      <c r="C17" s="522"/>
      <c r="D17" s="523"/>
      <c r="E17" s="524"/>
      <c r="F17" s="43"/>
      <c r="G17" s="526"/>
      <c r="H17" s="513"/>
    </row>
    <row r="18" spans="2:8" ht="12.75" customHeight="1" x14ac:dyDescent="0.25">
      <c r="B18" s="23"/>
      <c r="C18" s="522"/>
      <c r="D18" s="523"/>
      <c r="E18" s="524"/>
      <c r="F18" s="43"/>
      <c r="G18" s="526"/>
      <c r="H18" s="513"/>
    </row>
    <row r="19" spans="2:8" ht="12.75" customHeight="1" x14ac:dyDescent="0.25">
      <c r="B19" s="23"/>
      <c r="C19" s="522"/>
      <c r="D19" s="523"/>
      <c r="E19" s="524"/>
      <c r="F19" s="43"/>
      <c r="G19" s="526"/>
      <c r="H19" s="513"/>
    </row>
    <row r="20" spans="2:8" ht="12.75" customHeight="1" x14ac:dyDescent="0.25">
      <c r="B20" s="23"/>
      <c r="C20" s="522"/>
      <c r="D20" s="523"/>
      <c r="E20" s="524"/>
      <c r="F20" s="43"/>
      <c r="G20" s="526"/>
      <c r="H20" s="513"/>
    </row>
    <row r="21" spans="2:8" ht="12.75" customHeight="1" x14ac:dyDescent="0.25">
      <c r="B21" s="23"/>
      <c r="C21" s="522"/>
      <c r="D21" s="523"/>
      <c r="E21" s="524"/>
      <c r="F21" s="43"/>
      <c r="G21" s="526"/>
      <c r="H21" s="513"/>
    </row>
    <row r="22" spans="2:8" ht="12.75" customHeight="1" x14ac:dyDescent="0.25">
      <c r="B22" s="23"/>
      <c r="C22" s="522"/>
      <c r="D22" s="523"/>
      <c r="E22" s="524"/>
      <c r="F22" s="43"/>
      <c r="G22" s="526"/>
      <c r="H22" s="513"/>
    </row>
    <row r="23" spans="2:8" ht="12.75" customHeight="1" x14ac:dyDescent="0.25">
      <c r="B23" s="23"/>
      <c r="C23" s="522"/>
      <c r="D23" s="523"/>
      <c r="E23" s="524"/>
      <c r="F23" s="43"/>
      <c r="G23" s="526"/>
      <c r="H23" s="513"/>
    </row>
    <row r="24" spans="2:8" ht="12.75" customHeight="1" x14ac:dyDescent="0.25">
      <c r="B24" s="23"/>
      <c r="C24" s="522"/>
      <c r="D24" s="523"/>
      <c r="E24" s="524"/>
      <c r="F24" s="43"/>
      <c r="G24" s="526"/>
      <c r="H24" s="513"/>
    </row>
    <row r="25" spans="2:8" ht="12.75" customHeight="1" x14ac:dyDescent="0.25">
      <c r="B25" s="23"/>
      <c r="C25" s="522"/>
      <c r="D25" s="523"/>
      <c r="E25" s="524"/>
      <c r="F25" s="43"/>
      <c r="G25" s="526"/>
      <c r="H25" s="513"/>
    </row>
    <row r="26" spans="2:8" ht="12.75" customHeight="1" x14ac:dyDescent="0.25">
      <c r="B26" s="23"/>
      <c r="C26" s="522"/>
      <c r="D26" s="523"/>
      <c r="E26" s="524"/>
      <c r="F26" s="43"/>
      <c r="G26" s="526"/>
      <c r="H26" s="513"/>
    </row>
    <row r="27" spans="2:8" ht="12.75" customHeight="1" x14ac:dyDescent="0.25">
      <c r="B27" s="23"/>
      <c r="C27" s="522"/>
      <c r="D27" s="523"/>
      <c r="E27" s="524"/>
      <c r="F27" s="43"/>
      <c r="G27" s="526"/>
      <c r="H27" s="513"/>
    </row>
    <row r="28" spans="2:8" ht="12.75" customHeight="1" x14ac:dyDescent="0.25">
      <c r="B28" s="23"/>
      <c r="C28" s="522"/>
      <c r="D28" s="523"/>
      <c r="E28" s="524"/>
      <c r="F28" s="43"/>
      <c r="G28" s="526"/>
      <c r="H28" s="513"/>
    </row>
    <row r="29" spans="2:8" ht="12.75" customHeight="1" x14ac:dyDescent="0.25">
      <c r="B29" s="23"/>
      <c r="C29" s="522"/>
      <c r="D29" s="523"/>
      <c r="E29" s="524"/>
      <c r="F29" s="43"/>
      <c r="G29" s="526"/>
      <c r="H29" s="513"/>
    </row>
    <row r="30" spans="2:8" ht="12.75" customHeight="1" x14ac:dyDescent="0.25">
      <c r="B30" s="23"/>
      <c r="C30" s="522"/>
      <c r="D30" s="523"/>
      <c r="E30" s="524"/>
      <c r="F30" s="43"/>
      <c r="G30" s="526"/>
      <c r="H30" s="513"/>
    </row>
    <row r="31" spans="2:8" ht="12.75" customHeight="1" x14ac:dyDescent="0.25">
      <c r="B31" s="23"/>
      <c r="C31" s="522"/>
      <c r="D31" s="523"/>
      <c r="E31" s="524"/>
      <c r="F31" s="43"/>
      <c r="G31" s="526"/>
      <c r="H31" s="513"/>
    </row>
    <row r="32" spans="2:8" ht="12.75" customHeight="1" x14ac:dyDescent="0.25">
      <c r="B32" s="23"/>
      <c r="C32" s="522"/>
      <c r="D32" s="523"/>
      <c r="E32" s="524"/>
      <c r="F32" s="43"/>
      <c r="G32" s="526"/>
      <c r="H32" s="513"/>
    </row>
    <row r="33" spans="2:8" x14ac:dyDescent="0.25">
      <c r="B33" s="23"/>
      <c r="C33" s="522"/>
      <c r="D33" s="523"/>
      <c r="E33" s="524"/>
      <c r="F33" s="43"/>
      <c r="G33" s="526"/>
      <c r="H33" s="513"/>
    </row>
    <row r="34" spans="2:8" x14ac:dyDescent="0.25">
      <c r="B34" s="23"/>
      <c r="C34" s="522"/>
      <c r="D34" s="523"/>
      <c r="E34" s="524"/>
      <c r="F34" s="43"/>
      <c r="G34" s="526"/>
      <c r="H34" s="513"/>
    </row>
    <row r="35" spans="2:8" x14ac:dyDescent="0.25">
      <c r="B35" s="23"/>
      <c r="C35" s="522"/>
      <c r="D35" s="523"/>
      <c r="E35" s="524"/>
      <c r="F35" s="43"/>
      <c r="G35" s="526"/>
      <c r="H35" s="513"/>
    </row>
    <row r="36" spans="2:8" x14ac:dyDescent="0.25">
      <c r="B36" s="23"/>
      <c r="C36" s="522"/>
      <c r="D36" s="523"/>
      <c r="E36" s="524"/>
      <c r="F36" s="43"/>
      <c r="G36" s="526"/>
      <c r="H36" s="513"/>
    </row>
    <row r="37" spans="2:8" x14ac:dyDescent="0.25">
      <c r="B37" s="23"/>
      <c r="C37" s="522"/>
      <c r="D37" s="523"/>
      <c r="E37" s="524"/>
      <c r="F37" s="43"/>
      <c r="G37" s="526"/>
      <c r="H37" s="513"/>
    </row>
    <row r="38" spans="2:8" x14ac:dyDescent="0.25">
      <c r="B38" s="23"/>
      <c r="C38" s="522"/>
      <c r="D38" s="523"/>
      <c r="E38" s="524"/>
      <c r="F38" s="43"/>
      <c r="G38" s="526"/>
      <c r="H38" s="513"/>
    </row>
    <row r="39" spans="2:8" x14ac:dyDescent="0.25">
      <c r="B39" s="23"/>
      <c r="C39" s="522"/>
      <c r="D39" s="523"/>
      <c r="E39" s="524"/>
      <c r="F39" s="43"/>
      <c r="G39" s="526"/>
      <c r="H39" s="513"/>
    </row>
    <row r="40" spans="2:8" x14ac:dyDescent="0.25">
      <c r="B40" s="23"/>
      <c r="C40" s="522"/>
      <c r="D40" s="523"/>
      <c r="E40" s="524"/>
      <c r="F40" s="43"/>
      <c r="G40" s="526"/>
      <c r="H40" s="513"/>
    </row>
    <row r="41" spans="2:8" ht="12.75" customHeight="1" x14ac:dyDescent="0.25">
      <c r="B41" s="23"/>
      <c r="C41" s="522"/>
      <c r="D41" s="523"/>
      <c r="E41" s="524"/>
      <c r="F41" s="43"/>
      <c r="G41" s="526"/>
      <c r="H41" s="513"/>
    </row>
    <row r="42" spans="2:8" x14ac:dyDescent="0.25">
      <c r="B42" s="23"/>
      <c r="C42" s="522"/>
      <c r="D42" s="523"/>
      <c r="E42" s="524"/>
      <c r="F42" s="43"/>
      <c r="G42" s="526"/>
      <c r="H42" s="513"/>
    </row>
    <row r="43" spans="2:8" x14ac:dyDescent="0.25">
      <c r="B43" s="23"/>
      <c r="C43" s="522"/>
      <c r="D43" s="523"/>
      <c r="E43" s="524"/>
      <c r="F43" s="43"/>
      <c r="G43" s="526"/>
      <c r="H43" s="513"/>
    </row>
    <row r="44" spans="2:8" x14ac:dyDescent="0.25">
      <c r="B44" s="23"/>
      <c r="C44" s="522"/>
      <c r="D44" s="523"/>
      <c r="E44" s="524"/>
      <c r="F44" s="43"/>
      <c r="G44" s="526"/>
      <c r="H44" s="513"/>
    </row>
    <row r="45" spans="2:8" x14ac:dyDescent="0.25">
      <c r="B45" s="23"/>
      <c r="C45" s="522"/>
      <c r="D45" s="523"/>
      <c r="E45" s="524"/>
      <c r="F45" s="43"/>
      <c r="G45" s="526"/>
      <c r="H45" s="513"/>
    </row>
    <row r="46" spans="2:8" x14ac:dyDescent="0.25">
      <c r="B46" s="23"/>
      <c r="C46" s="522"/>
      <c r="D46" s="523"/>
      <c r="E46" s="524"/>
      <c r="F46" s="43"/>
      <c r="G46" s="526"/>
      <c r="H46" s="513"/>
    </row>
    <row r="47" spans="2:8" x14ac:dyDescent="0.25">
      <c r="B47" s="23"/>
      <c r="C47" s="522"/>
      <c r="D47" s="523"/>
      <c r="E47" s="524"/>
      <c r="F47" s="43"/>
      <c r="G47" s="526"/>
      <c r="H47" s="513"/>
    </row>
    <row r="48" spans="2:8" x14ac:dyDescent="0.25">
      <c r="B48" s="23"/>
      <c r="C48" s="522"/>
      <c r="D48" s="523"/>
      <c r="E48" s="524"/>
      <c r="F48" s="43"/>
      <c r="G48" s="526"/>
      <c r="H48" s="513"/>
    </row>
    <row r="49" spans="2:8" x14ac:dyDescent="0.25">
      <c r="B49" s="23"/>
      <c r="C49" s="522"/>
      <c r="D49" s="523"/>
      <c r="E49" s="524"/>
      <c r="F49" s="43"/>
      <c r="G49" s="526"/>
      <c r="H49" s="513"/>
    </row>
    <row r="50" spans="2:8" x14ac:dyDescent="0.25">
      <c r="B50" s="23"/>
      <c r="C50" s="522"/>
      <c r="D50" s="523"/>
      <c r="E50" s="524"/>
      <c r="F50" s="43"/>
      <c r="G50" s="526"/>
      <c r="H50" s="513"/>
    </row>
    <row r="51" spans="2:8" x14ac:dyDescent="0.25">
      <c r="B51" s="23"/>
      <c r="C51" s="522"/>
      <c r="D51" s="523"/>
      <c r="E51" s="524"/>
      <c r="F51" s="43"/>
      <c r="G51" s="526"/>
      <c r="H51" s="513"/>
    </row>
    <row r="52" spans="2:8" x14ac:dyDescent="0.25">
      <c r="B52" s="23"/>
      <c r="C52" s="522"/>
      <c r="D52" s="523"/>
      <c r="E52" s="524"/>
      <c r="F52" s="43"/>
      <c r="G52" s="526"/>
      <c r="H52" s="513"/>
    </row>
    <row r="53" spans="2:8" x14ac:dyDescent="0.25">
      <c r="B53" s="23"/>
      <c r="C53" s="522"/>
      <c r="D53" s="523"/>
      <c r="E53" s="524"/>
      <c r="F53" s="43"/>
      <c r="G53" s="526"/>
      <c r="H53" s="513"/>
    </row>
    <row r="54" spans="2:8" x14ac:dyDescent="0.25">
      <c r="B54" s="23"/>
      <c r="C54" s="522"/>
      <c r="D54" s="523"/>
      <c r="E54" s="524"/>
      <c r="F54" s="43"/>
      <c r="G54" s="526"/>
      <c r="H54" s="513"/>
    </row>
    <row r="55" spans="2:8" x14ac:dyDescent="0.25">
      <c r="B55" s="23"/>
      <c r="C55" s="522"/>
      <c r="D55" s="523"/>
      <c r="E55" s="524"/>
      <c r="F55" s="43"/>
      <c r="G55" s="526"/>
      <c r="H55" s="513"/>
    </row>
    <row r="56" spans="2:8" x14ac:dyDescent="0.25">
      <c r="B56" s="23"/>
      <c r="C56" s="522"/>
      <c r="D56" s="523"/>
      <c r="E56" s="524"/>
      <c r="F56" s="43"/>
      <c r="G56" s="526"/>
      <c r="H56" s="513"/>
    </row>
    <row r="57" spans="2:8" x14ac:dyDescent="0.25">
      <c r="B57" s="23"/>
      <c r="C57" s="522"/>
      <c r="D57" s="523"/>
      <c r="E57" s="524"/>
      <c r="F57" s="43"/>
      <c r="G57" s="526"/>
      <c r="H57" s="513"/>
    </row>
    <row r="58" spans="2:8" x14ac:dyDescent="0.25">
      <c r="B58" s="23"/>
      <c r="C58" s="522"/>
      <c r="D58" s="523"/>
      <c r="E58" s="524"/>
      <c r="F58" s="43"/>
      <c r="G58" s="526"/>
      <c r="H58" s="513"/>
    </row>
    <row r="59" spans="2:8" x14ac:dyDescent="0.25">
      <c r="B59" s="23"/>
      <c r="C59" s="522"/>
      <c r="D59" s="523"/>
      <c r="E59" s="524"/>
      <c r="F59" s="43"/>
      <c r="G59" s="526"/>
      <c r="H59" s="513"/>
    </row>
    <row r="60" spans="2:8" x14ac:dyDescent="0.25">
      <c r="B60" s="22"/>
      <c r="C60" s="522"/>
      <c r="D60" s="523"/>
      <c r="E60" s="524"/>
      <c r="F60" s="43"/>
      <c r="G60" s="526"/>
      <c r="H60" s="513"/>
    </row>
    <row r="61" spans="2:8" x14ac:dyDescent="0.25">
      <c r="B61" s="23"/>
      <c r="C61" s="522"/>
      <c r="D61" s="523"/>
      <c r="E61" s="524"/>
      <c r="F61" s="43"/>
      <c r="G61" s="526"/>
      <c r="H61" s="513"/>
    </row>
    <row r="62" spans="2:8" x14ac:dyDescent="0.25">
      <c r="B62" s="22"/>
      <c r="C62" s="522"/>
      <c r="D62" s="523"/>
      <c r="E62" s="524"/>
      <c r="F62" s="43"/>
      <c r="G62" s="526"/>
      <c r="H62" s="513"/>
    </row>
    <row r="63" spans="2:8" x14ac:dyDescent="0.25">
      <c r="B63" s="23"/>
      <c r="C63" s="522"/>
      <c r="D63" s="523"/>
      <c r="E63" s="524"/>
      <c r="F63" s="43"/>
      <c r="G63" s="526"/>
      <c r="H63" s="513"/>
    </row>
    <row r="64" spans="2:8" x14ac:dyDescent="0.25">
      <c r="B64" s="23"/>
      <c r="C64" s="522"/>
      <c r="D64" s="523"/>
      <c r="E64" s="524"/>
      <c r="F64" s="43"/>
      <c r="G64" s="526"/>
      <c r="H64" s="513"/>
    </row>
    <row r="65" spans="2:9" x14ac:dyDescent="0.25">
      <c r="B65" s="23"/>
      <c r="C65" s="522"/>
      <c r="D65" s="523"/>
      <c r="E65" s="524"/>
      <c r="F65" s="43"/>
      <c r="G65" s="526"/>
      <c r="H65" s="513"/>
    </row>
    <row r="66" spans="2:9" x14ac:dyDescent="0.25">
      <c r="B66" s="23"/>
      <c r="C66" s="522"/>
      <c r="D66" s="523"/>
      <c r="E66" s="524"/>
      <c r="F66" s="43"/>
      <c r="G66" s="526"/>
      <c r="H66" s="513"/>
    </row>
    <row r="67" spans="2:9" x14ac:dyDescent="0.25">
      <c r="B67" s="23"/>
      <c r="C67" s="522"/>
      <c r="D67" s="523"/>
      <c r="E67" s="524"/>
      <c r="F67" s="43"/>
      <c r="G67" s="526"/>
      <c r="H67" s="513"/>
    </row>
    <row r="68" spans="2:9" x14ac:dyDescent="0.25">
      <c r="B68" s="160"/>
      <c r="C68" s="592"/>
      <c r="D68" s="593"/>
      <c r="E68" s="594"/>
      <c r="F68" s="157"/>
      <c r="G68" s="595"/>
      <c r="H68" s="514"/>
    </row>
    <row r="69" spans="2:9" s="31" customFormat="1" ht="19.5" customHeight="1" x14ac:dyDescent="0.25">
      <c r="B69" s="532" t="str">
        <f>_xlfn.CONCAT("TOTAL SCHEDULE"," ",B9," : ",C9)</f>
        <v>TOTAL SCHEDULE E : EXPANDED PUBLIC WORKS PROGRAMME (EPWP)</v>
      </c>
      <c r="C69" s="533"/>
      <c r="D69" s="533"/>
      <c r="E69" s="533"/>
      <c r="F69" s="533"/>
      <c r="G69" s="590">
        <f>SUM(G9:H68)</f>
        <v>3050000</v>
      </c>
      <c r="H69" s="591"/>
      <c r="I69" s="37"/>
    </row>
    <row r="1048492" spans="3:5" x14ac:dyDescent="0.25">
      <c r="C1048492" s="522"/>
      <c r="D1048492" s="522"/>
      <c r="E1048492" s="522"/>
    </row>
  </sheetData>
  <mergeCells count="129">
    <mergeCell ref="C1048492:E1048492"/>
    <mergeCell ref="B69:F69"/>
    <mergeCell ref="G69:H69"/>
    <mergeCell ref="C66:E66"/>
    <mergeCell ref="G66:H66"/>
    <mergeCell ref="C67:E67"/>
    <mergeCell ref="G67:H67"/>
    <mergeCell ref="C68:E68"/>
    <mergeCell ref="G68:H68"/>
    <mergeCell ref="C63:E63"/>
    <mergeCell ref="G63:H63"/>
    <mergeCell ref="C64:E64"/>
    <mergeCell ref="G64:H64"/>
    <mergeCell ref="C65:E65"/>
    <mergeCell ref="G65:H65"/>
    <mergeCell ref="C60:E60"/>
    <mergeCell ref="G60:H60"/>
    <mergeCell ref="C61:E61"/>
    <mergeCell ref="G61:H61"/>
    <mergeCell ref="C62:E62"/>
    <mergeCell ref="G62:H62"/>
    <mergeCell ref="C57:E57"/>
    <mergeCell ref="G57:H57"/>
    <mergeCell ref="C58:E58"/>
    <mergeCell ref="G58:H58"/>
    <mergeCell ref="C59:E59"/>
    <mergeCell ref="G59:H59"/>
    <mergeCell ref="C54:E54"/>
    <mergeCell ref="G54:H54"/>
    <mergeCell ref="C55:E55"/>
    <mergeCell ref="G55:H55"/>
    <mergeCell ref="C56:E56"/>
    <mergeCell ref="G56:H56"/>
    <mergeCell ref="C51:E51"/>
    <mergeCell ref="G51:H51"/>
    <mergeCell ref="C52:E52"/>
    <mergeCell ref="G52:H52"/>
    <mergeCell ref="C53:E53"/>
    <mergeCell ref="G53:H53"/>
    <mergeCell ref="C48:E48"/>
    <mergeCell ref="G48:H48"/>
    <mergeCell ref="C49:E49"/>
    <mergeCell ref="G49:H49"/>
    <mergeCell ref="C50:E50"/>
    <mergeCell ref="G50:H50"/>
    <mergeCell ref="C45:E45"/>
    <mergeCell ref="G45:H45"/>
    <mergeCell ref="C46:E46"/>
    <mergeCell ref="G46:H46"/>
    <mergeCell ref="C47:E47"/>
    <mergeCell ref="G47:H47"/>
    <mergeCell ref="C42:E42"/>
    <mergeCell ref="G42:H42"/>
    <mergeCell ref="C43:E43"/>
    <mergeCell ref="G43:H43"/>
    <mergeCell ref="C44:E44"/>
    <mergeCell ref="G44:H44"/>
    <mergeCell ref="C39:E39"/>
    <mergeCell ref="G39:H39"/>
    <mergeCell ref="C40:E40"/>
    <mergeCell ref="G40:H40"/>
    <mergeCell ref="C41:E41"/>
    <mergeCell ref="G41:H41"/>
    <mergeCell ref="C36:E36"/>
    <mergeCell ref="G36:H36"/>
    <mergeCell ref="C37:E37"/>
    <mergeCell ref="G37:H37"/>
    <mergeCell ref="C38:E38"/>
    <mergeCell ref="G38:H38"/>
    <mergeCell ref="C33:E33"/>
    <mergeCell ref="G33:H33"/>
    <mergeCell ref="C34:E34"/>
    <mergeCell ref="G34:H34"/>
    <mergeCell ref="C35:E35"/>
    <mergeCell ref="G35:H35"/>
    <mergeCell ref="C30:E30"/>
    <mergeCell ref="G30:H30"/>
    <mergeCell ref="C31:E31"/>
    <mergeCell ref="G31:H31"/>
    <mergeCell ref="C32:E32"/>
    <mergeCell ref="G32:H32"/>
    <mergeCell ref="C27:E27"/>
    <mergeCell ref="G27:H27"/>
    <mergeCell ref="C28:E28"/>
    <mergeCell ref="G28:H28"/>
    <mergeCell ref="C29:E29"/>
    <mergeCell ref="G29:H29"/>
    <mergeCell ref="C24:E24"/>
    <mergeCell ref="G24:H24"/>
    <mergeCell ref="C25:E25"/>
    <mergeCell ref="G25:H25"/>
    <mergeCell ref="C26:E26"/>
    <mergeCell ref="G26:H26"/>
    <mergeCell ref="C21:E21"/>
    <mergeCell ref="G21:H21"/>
    <mergeCell ref="C22:E22"/>
    <mergeCell ref="G22:H22"/>
    <mergeCell ref="C23:E23"/>
    <mergeCell ref="G23:H23"/>
    <mergeCell ref="C18:E18"/>
    <mergeCell ref="G18:H18"/>
    <mergeCell ref="C19:E19"/>
    <mergeCell ref="G19:H19"/>
    <mergeCell ref="C20:E20"/>
    <mergeCell ref="G20:H20"/>
    <mergeCell ref="C15:E15"/>
    <mergeCell ref="G15:H15"/>
    <mergeCell ref="C16:E16"/>
    <mergeCell ref="G16:H16"/>
    <mergeCell ref="C17:E17"/>
    <mergeCell ref="G17:H17"/>
    <mergeCell ref="C12:E12"/>
    <mergeCell ref="G12:H12"/>
    <mergeCell ref="C13:E13"/>
    <mergeCell ref="G13:H13"/>
    <mergeCell ref="C14:E14"/>
    <mergeCell ref="G14:H14"/>
    <mergeCell ref="C9:E9"/>
    <mergeCell ref="G9:H9"/>
    <mergeCell ref="C10:E10"/>
    <mergeCell ref="G10:H10"/>
    <mergeCell ref="C11:E11"/>
    <mergeCell ref="G11:H11"/>
    <mergeCell ref="F1:H1"/>
    <mergeCell ref="B4:G6"/>
    <mergeCell ref="H4:H6"/>
    <mergeCell ref="B7:H7"/>
    <mergeCell ref="C8:E8"/>
    <mergeCell ref="G8:H8"/>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EF9EB-D6DB-4BF7-B3D9-008CB53D3D9A}">
  <sheetPr>
    <tabColor theme="3" tint="0.59999389629810485"/>
  </sheetPr>
  <dimension ref="B1:O1048493"/>
  <sheetViews>
    <sheetView view="pageBreakPreview" zoomScaleNormal="100" zoomScaleSheetLayoutView="100" zoomScalePageLayoutView="150" workbookViewId="0">
      <selection activeCell="F1" sqref="F1:H1"/>
    </sheetView>
  </sheetViews>
  <sheetFormatPr defaultColWidth="8.6640625" defaultRowHeight="13.2" x14ac:dyDescent="0.25"/>
  <cols>
    <col min="1" max="1" width="0.6640625" style="56" customWidth="1"/>
    <col min="2" max="2" width="11.5546875" style="59" customWidth="1"/>
    <col min="3" max="3" width="45.5546875" style="57" customWidth="1"/>
    <col min="4" max="4" width="13.5546875" style="57" customWidth="1"/>
    <col min="5" max="5" width="5.5546875" style="144" customWidth="1"/>
    <col min="6" max="7" width="15.5546875" style="56" customWidth="1"/>
    <col min="8" max="8" width="15.5546875" style="145" customWidth="1"/>
    <col min="9" max="9" width="0.6640625" style="56" customWidth="1"/>
    <col min="10" max="10" width="8.6640625" style="56"/>
    <col min="11" max="11" width="15.44140625" style="56" customWidth="1"/>
    <col min="12" max="12" width="12.5546875" style="56" customWidth="1"/>
    <col min="13" max="13" width="9.44140625" style="56" customWidth="1"/>
    <col min="14" max="16384" width="8.6640625" style="56"/>
  </cols>
  <sheetData>
    <row r="1" spans="2:15" x14ac:dyDescent="0.25">
      <c r="B1" s="2" t="str">
        <f>Client1</f>
        <v>Province of KwaZulu-Natal</v>
      </c>
      <c r="D1" s="4"/>
      <c r="E1" s="4"/>
      <c r="F1" s="510" t="str">
        <f>"Contract No. "&amp;ContractNo</f>
        <v>Contract No. ZNB02215/00000/00/HOD/INF/23/T</v>
      </c>
      <c r="G1" s="510"/>
      <c r="H1" s="510"/>
    </row>
    <row r="2" spans="2:15" s="1" customFormat="1" ht="18" customHeight="1" x14ac:dyDescent="0.25">
      <c r="B2" s="96" t="str">
        <f>Client2</f>
        <v>Department of Transport</v>
      </c>
      <c r="C2" s="57"/>
      <c r="D2" s="4"/>
      <c r="E2" s="4"/>
      <c r="F2" s="4"/>
      <c r="H2" s="5"/>
      <c r="L2" s="4"/>
    </row>
    <row r="3" spans="2:15" s="1" customFormat="1" ht="16.5" customHeight="1" x14ac:dyDescent="0.25">
      <c r="B3" s="84"/>
      <c r="C3" s="99"/>
      <c r="D3" s="85"/>
      <c r="E3" s="85"/>
      <c r="F3" s="85"/>
      <c r="G3" s="86"/>
      <c r="H3" s="98"/>
      <c r="J3" s="5"/>
      <c r="K3" s="5"/>
      <c r="L3" s="4"/>
    </row>
    <row r="4" spans="2:15" s="1" customFormat="1" ht="7.5" customHeight="1" x14ac:dyDescent="0.25">
      <c r="B4" s="500" t="str">
        <f>ContractDescription</f>
        <v>UPGRADING OF MAIN ROAD P8/3 FROM GRAVEL TO BLACKTOP BETWEEN KM 17.560 AND KM 24.221 IN THE PIETERMARITZBURG REGION</v>
      </c>
      <c r="C4" s="501"/>
      <c r="D4" s="501"/>
      <c r="E4" s="501"/>
      <c r="F4" s="501"/>
      <c r="G4" s="501"/>
      <c r="H4" s="539"/>
      <c r="J4" s="5"/>
      <c r="K4" s="5"/>
      <c r="L4" s="4"/>
    </row>
    <row r="5" spans="2:15" ht="12.75" customHeight="1" x14ac:dyDescent="0.25">
      <c r="B5" s="500"/>
      <c r="C5" s="501"/>
      <c r="D5" s="501"/>
      <c r="E5" s="501"/>
      <c r="F5" s="501"/>
      <c r="G5" s="501"/>
      <c r="H5" s="539"/>
    </row>
    <row r="6" spans="2:15" ht="7.5" customHeight="1" x14ac:dyDescent="0.25">
      <c r="B6" s="502"/>
      <c r="C6" s="503"/>
      <c r="D6" s="503"/>
      <c r="E6" s="503"/>
      <c r="F6" s="503"/>
      <c r="G6" s="503"/>
      <c r="H6" s="540"/>
    </row>
    <row r="7" spans="2:15" ht="25.5" customHeight="1" x14ac:dyDescent="0.25">
      <c r="B7" s="598" t="str">
        <f>_xlfn.CONCAT("SCHEDULE"," ",B9," : ",C9)</f>
        <v>SCHEDULE F : SMALL CONTRACTOR DEVELOPMENT</v>
      </c>
      <c r="C7" s="599"/>
      <c r="D7" s="599"/>
      <c r="E7" s="599"/>
      <c r="F7" s="599"/>
      <c r="G7" s="599"/>
      <c r="H7" s="600"/>
    </row>
    <row r="8" spans="2:15" x14ac:dyDescent="0.25">
      <c r="B8" s="12" t="s">
        <v>970</v>
      </c>
      <c r="C8" s="579" t="s">
        <v>1</v>
      </c>
      <c r="D8" s="580"/>
      <c r="E8" s="581"/>
      <c r="F8" s="12" t="s">
        <v>951</v>
      </c>
      <c r="G8" s="580" t="s">
        <v>5</v>
      </c>
      <c r="H8" s="581"/>
      <c r="O8" s="145"/>
    </row>
    <row r="9" spans="2:15" x14ac:dyDescent="0.25">
      <c r="B9" s="22" t="str">
        <f>'Chapter F'!B11</f>
        <v>F</v>
      </c>
      <c r="C9" s="529" t="str">
        <f>'Chapter F'!C11</f>
        <v>SMALL CONTRACTOR DEVELOPMENT</v>
      </c>
      <c r="D9" s="530"/>
      <c r="E9" s="531"/>
      <c r="F9" s="43"/>
      <c r="G9" s="601">
        <f>'Chapter F'!H120</f>
        <v>30099061</v>
      </c>
      <c r="H9" s="597"/>
      <c r="O9" s="145"/>
    </row>
    <row r="10" spans="2:15" ht="12.75" customHeight="1" x14ac:dyDescent="0.25">
      <c r="B10" s="23"/>
      <c r="C10" s="522"/>
      <c r="D10" s="523"/>
      <c r="E10" s="524"/>
      <c r="F10" s="43"/>
      <c r="G10" s="526"/>
      <c r="H10" s="513"/>
    </row>
    <row r="11" spans="2:15" ht="12.75" customHeight="1" x14ac:dyDescent="0.25">
      <c r="B11" s="23"/>
      <c r="C11" s="522"/>
      <c r="D11" s="523"/>
      <c r="E11" s="524"/>
      <c r="F11" s="43"/>
      <c r="G11" s="526"/>
      <c r="H11" s="513"/>
    </row>
    <row r="12" spans="2:15" ht="12.75" customHeight="1" x14ac:dyDescent="0.25">
      <c r="B12" s="23"/>
      <c r="C12" s="522"/>
      <c r="D12" s="523"/>
      <c r="E12" s="524"/>
      <c r="F12" s="43"/>
      <c r="G12" s="526"/>
      <c r="H12" s="513"/>
    </row>
    <row r="13" spans="2:15" ht="12.75" customHeight="1" x14ac:dyDescent="0.25">
      <c r="B13" s="23"/>
      <c r="C13" s="522"/>
      <c r="D13" s="523"/>
      <c r="E13" s="524"/>
      <c r="F13" s="43"/>
      <c r="G13" s="526"/>
      <c r="H13" s="513"/>
    </row>
    <row r="14" spans="2:15" ht="12.75" customHeight="1" x14ac:dyDescent="0.25">
      <c r="B14" s="23"/>
      <c r="C14" s="522"/>
      <c r="D14" s="523"/>
      <c r="E14" s="524"/>
      <c r="F14" s="43"/>
      <c r="G14" s="526"/>
      <c r="H14" s="513"/>
    </row>
    <row r="15" spans="2:15" ht="12.75" customHeight="1" x14ac:dyDescent="0.25">
      <c r="B15" s="23"/>
      <c r="C15" s="522"/>
      <c r="D15" s="523"/>
      <c r="E15" s="524"/>
      <c r="F15" s="43"/>
      <c r="G15" s="526"/>
      <c r="H15" s="513"/>
    </row>
    <row r="16" spans="2:15" ht="12.75" customHeight="1" x14ac:dyDescent="0.25">
      <c r="B16" s="23"/>
      <c r="C16" s="522"/>
      <c r="D16" s="523"/>
      <c r="E16" s="524"/>
      <c r="F16" s="43"/>
      <c r="G16" s="526"/>
      <c r="H16" s="513"/>
    </row>
    <row r="17" spans="2:8" ht="12.75" customHeight="1" x14ac:dyDescent="0.25">
      <c r="B17" s="23"/>
      <c r="C17" s="522"/>
      <c r="D17" s="523"/>
      <c r="E17" s="524"/>
      <c r="F17" s="43"/>
      <c r="G17" s="526"/>
      <c r="H17" s="513"/>
    </row>
    <row r="18" spans="2:8" ht="12.75" customHeight="1" x14ac:dyDescent="0.25">
      <c r="B18" s="23"/>
      <c r="C18" s="522"/>
      <c r="D18" s="523"/>
      <c r="E18" s="524"/>
      <c r="F18" s="43"/>
      <c r="G18" s="526"/>
      <c r="H18" s="513"/>
    </row>
    <row r="19" spans="2:8" ht="12.75" customHeight="1" x14ac:dyDescent="0.25">
      <c r="B19" s="23"/>
      <c r="C19" s="522"/>
      <c r="D19" s="523"/>
      <c r="E19" s="524"/>
      <c r="F19" s="43"/>
      <c r="G19" s="526"/>
      <c r="H19" s="513"/>
    </row>
    <row r="20" spans="2:8" ht="12.75" customHeight="1" x14ac:dyDescent="0.25">
      <c r="B20" s="23"/>
      <c r="C20" s="522"/>
      <c r="D20" s="523"/>
      <c r="E20" s="524"/>
      <c r="F20" s="43"/>
      <c r="G20" s="526"/>
      <c r="H20" s="513"/>
    </row>
    <row r="21" spans="2:8" ht="12.75" customHeight="1" x14ac:dyDescent="0.25">
      <c r="B21" s="23"/>
      <c r="C21" s="522"/>
      <c r="D21" s="523"/>
      <c r="E21" s="524"/>
      <c r="F21" s="43"/>
      <c r="G21" s="526"/>
      <c r="H21" s="513"/>
    </row>
    <row r="22" spans="2:8" ht="12.75" customHeight="1" x14ac:dyDescent="0.25">
      <c r="B22" s="23"/>
      <c r="C22" s="522"/>
      <c r="D22" s="523"/>
      <c r="E22" s="524"/>
      <c r="F22" s="43"/>
      <c r="G22" s="526"/>
      <c r="H22" s="513"/>
    </row>
    <row r="23" spans="2:8" ht="12.75" customHeight="1" x14ac:dyDescent="0.25">
      <c r="B23" s="23"/>
      <c r="C23" s="522"/>
      <c r="D23" s="523"/>
      <c r="E23" s="524"/>
      <c r="F23" s="43"/>
      <c r="G23" s="526"/>
      <c r="H23" s="513"/>
    </row>
    <row r="24" spans="2:8" ht="12.75" customHeight="1" x14ac:dyDescent="0.25">
      <c r="B24" s="23"/>
      <c r="C24" s="522"/>
      <c r="D24" s="523"/>
      <c r="E24" s="524"/>
      <c r="F24" s="43"/>
      <c r="G24" s="526"/>
      <c r="H24" s="513"/>
    </row>
    <row r="25" spans="2:8" ht="12.75" customHeight="1" x14ac:dyDescent="0.25">
      <c r="B25" s="23"/>
      <c r="C25" s="522"/>
      <c r="D25" s="523"/>
      <c r="E25" s="524"/>
      <c r="F25" s="43"/>
      <c r="G25" s="526"/>
      <c r="H25" s="513"/>
    </row>
    <row r="26" spans="2:8" ht="12.75" customHeight="1" x14ac:dyDescent="0.25">
      <c r="B26" s="23"/>
      <c r="C26" s="522"/>
      <c r="D26" s="523"/>
      <c r="E26" s="524"/>
      <c r="F26" s="43"/>
      <c r="G26" s="526"/>
      <c r="H26" s="513"/>
    </row>
    <row r="27" spans="2:8" ht="12.75" customHeight="1" x14ac:dyDescent="0.25">
      <c r="B27" s="23"/>
      <c r="C27" s="522"/>
      <c r="D27" s="523"/>
      <c r="E27" s="524"/>
      <c r="F27" s="43"/>
      <c r="G27" s="526"/>
      <c r="H27" s="513"/>
    </row>
    <row r="28" spans="2:8" ht="12.75" customHeight="1" x14ac:dyDescent="0.25">
      <c r="B28" s="23"/>
      <c r="C28" s="522"/>
      <c r="D28" s="523"/>
      <c r="E28" s="524"/>
      <c r="F28" s="43"/>
      <c r="G28" s="526"/>
      <c r="H28" s="513"/>
    </row>
    <row r="29" spans="2:8" ht="12.75" customHeight="1" x14ac:dyDescent="0.25">
      <c r="B29" s="23"/>
      <c r="C29" s="522"/>
      <c r="D29" s="523"/>
      <c r="E29" s="524"/>
      <c r="F29" s="43"/>
      <c r="G29" s="526"/>
      <c r="H29" s="513"/>
    </row>
    <row r="30" spans="2:8" ht="12.75" customHeight="1" x14ac:dyDescent="0.25">
      <c r="B30" s="23"/>
      <c r="C30" s="522"/>
      <c r="D30" s="523"/>
      <c r="E30" s="524"/>
      <c r="F30" s="43"/>
      <c r="G30" s="526"/>
      <c r="H30" s="513"/>
    </row>
    <row r="31" spans="2:8" ht="12.75" customHeight="1" x14ac:dyDescent="0.25">
      <c r="B31" s="23"/>
      <c r="C31" s="522"/>
      <c r="D31" s="523"/>
      <c r="E31" s="524"/>
      <c r="F31" s="43"/>
      <c r="G31" s="526"/>
      <c r="H31" s="513"/>
    </row>
    <row r="32" spans="2:8" ht="12.75" customHeight="1" x14ac:dyDescent="0.25">
      <c r="B32" s="23"/>
      <c r="C32" s="522"/>
      <c r="D32" s="523"/>
      <c r="E32" s="524"/>
      <c r="F32" s="43"/>
      <c r="G32" s="526"/>
      <c r="H32" s="513"/>
    </row>
    <row r="33" spans="2:8" x14ac:dyDescent="0.25">
      <c r="B33" s="23"/>
      <c r="C33" s="522"/>
      <c r="D33" s="523"/>
      <c r="E33" s="524"/>
      <c r="F33" s="43"/>
      <c r="G33" s="526"/>
      <c r="H33" s="513"/>
    </row>
    <row r="34" spans="2:8" x14ac:dyDescent="0.25">
      <c r="B34" s="23"/>
      <c r="C34" s="522"/>
      <c r="D34" s="523"/>
      <c r="E34" s="524"/>
      <c r="F34" s="43"/>
      <c r="G34" s="526"/>
      <c r="H34" s="513"/>
    </row>
    <row r="35" spans="2:8" x14ac:dyDescent="0.25">
      <c r="B35" s="23"/>
      <c r="C35" s="522"/>
      <c r="D35" s="523"/>
      <c r="E35" s="524"/>
      <c r="F35" s="43"/>
      <c r="G35" s="526"/>
      <c r="H35" s="513"/>
    </row>
    <row r="36" spans="2:8" x14ac:dyDescent="0.25">
      <c r="B36" s="23"/>
      <c r="C36" s="522"/>
      <c r="D36" s="523"/>
      <c r="E36" s="524"/>
      <c r="F36" s="43"/>
      <c r="G36" s="526"/>
      <c r="H36" s="513"/>
    </row>
    <row r="37" spans="2:8" x14ac:dyDescent="0.25">
      <c r="B37" s="23"/>
      <c r="C37" s="522"/>
      <c r="D37" s="523"/>
      <c r="E37" s="524"/>
      <c r="F37" s="43"/>
      <c r="G37" s="526"/>
      <c r="H37" s="513"/>
    </row>
    <row r="38" spans="2:8" x14ac:dyDescent="0.25">
      <c r="B38" s="23"/>
      <c r="C38" s="522"/>
      <c r="D38" s="523"/>
      <c r="E38" s="524"/>
      <c r="F38" s="43"/>
      <c r="G38" s="526"/>
      <c r="H38" s="513"/>
    </row>
    <row r="39" spans="2:8" x14ac:dyDescent="0.25">
      <c r="B39" s="23"/>
      <c r="C39" s="522"/>
      <c r="D39" s="523"/>
      <c r="E39" s="524"/>
      <c r="F39" s="43"/>
      <c r="G39" s="526"/>
      <c r="H39" s="513"/>
    </row>
    <row r="40" spans="2:8" x14ac:dyDescent="0.25">
      <c r="B40" s="23"/>
      <c r="C40" s="522"/>
      <c r="D40" s="523"/>
      <c r="E40" s="524"/>
      <c r="F40" s="43"/>
      <c r="G40" s="526"/>
      <c r="H40" s="513"/>
    </row>
    <row r="41" spans="2:8" ht="12.75" customHeight="1" x14ac:dyDescent="0.25">
      <c r="B41" s="23"/>
      <c r="C41" s="522"/>
      <c r="D41" s="523"/>
      <c r="E41" s="524"/>
      <c r="F41" s="43"/>
      <c r="G41" s="526"/>
      <c r="H41" s="513"/>
    </row>
    <row r="42" spans="2:8" x14ac:dyDescent="0.25">
      <c r="B42" s="23"/>
      <c r="C42" s="522"/>
      <c r="D42" s="523"/>
      <c r="E42" s="524"/>
      <c r="F42" s="43"/>
      <c r="G42" s="526"/>
      <c r="H42" s="513"/>
    </row>
    <row r="43" spans="2:8" x14ac:dyDescent="0.25">
      <c r="B43" s="23"/>
      <c r="C43" s="522"/>
      <c r="D43" s="523"/>
      <c r="E43" s="524"/>
      <c r="F43" s="43"/>
      <c r="G43" s="526"/>
      <c r="H43" s="513"/>
    </row>
    <row r="44" spans="2:8" x14ac:dyDescent="0.25">
      <c r="B44" s="23"/>
      <c r="C44" s="522"/>
      <c r="D44" s="523"/>
      <c r="E44" s="524"/>
      <c r="F44" s="43"/>
      <c r="G44" s="526"/>
      <c r="H44" s="513"/>
    </row>
    <row r="45" spans="2:8" x14ac:dyDescent="0.25">
      <c r="B45" s="23"/>
      <c r="C45" s="522"/>
      <c r="D45" s="523"/>
      <c r="E45" s="524"/>
      <c r="F45" s="43"/>
      <c r="G45" s="526"/>
      <c r="H45" s="513"/>
    </row>
    <row r="46" spans="2:8" x14ac:dyDescent="0.25">
      <c r="B46" s="23"/>
      <c r="C46" s="522"/>
      <c r="D46" s="523"/>
      <c r="E46" s="524"/>
      <c r="F46" s="43"/>
      <c r="G46" s="526"/>
      <c r="H46" s="513"/>
    </row>
    <row r="47" spans="2:8" x14ac:dyDescent="0.25">
      <c r="B47" s="23"/>
      <c r="C47" s="522"/>
      <c r="D47" s="523"/>
      <c r="E47" s="524"/>
      <c r="F47" s="43"/>
      <c r="G47" s="526"/>
      <c r="H47" s="513"/>
    </row>
    <row r="48" spans="2:8" x14ac:dyDescent="0.25">
      <c r="B48" s="23"/>
      <c r="C48" s="522"/>
      <c r="D48" s="523"/>
      <c r="E48" s="524"/>
      <c r="F48" s="43"/>
      <c r="G48" s="526"/>
      <c r="H48" s="513"/>
    </row>
    <row r="49" spans="2:8" x14ac:dyDescent="0.25">
      <c r="B49" s="23"/>
      <c r="C49" s="522"/>
      <c r="D49" s="523"/>
      <c r="E49" s="524"/>
      <c r="F49" s="43"/>
      <c r="G49" s="526"/>
      <c r="H49" s="513"/>
    </row>
    <row r="50" spans="2:8" x14ac:dyDescent="0.25">
      <c r="B50" s="23"/>
      <c r="C50" s="522"/>
      <c r="D50" s="523"/>
      <c r="E50" s="524"/>
      <c r="F50" s="43"/>
      <c r="G50" s="526"/>
      <c r="H50" s="513"/>
    </row>
    <row r="51" spans="2:8" x14ac:dyDescent="0.25">
      <c r="B51" s="23"/>
      <c r="C51" s="522"/>
      <c r="D51" s="523"/>
      <c r="E51" s="524"/>
      <c r="F51" s="43"/>
      <c r="G51" s="526"/>
      <c r="H51" s="513"/>
    </row>
    <row r="52" spans="2:8" x14ac:dyDescent="0.25">
      <c r="B52" s="23"/>
      <c r="C52" s="522"/>
      <c r="D52" s="523"/>
      <c r="E52" s="524"/>
      <c r="F52" s="43"/>
      <c r="G52" s="526"/>
      <c r="H52" s="513"/>
    </row>
    <row r="53" spans="2:8" x14ac:dyDescent="0.25">
      <c r="B53" s="23"/>
      <c r="C53" s="522"/>
      <c r="D53" s="523"/>
      <c r="E53" s="524"/>
      <c r="F53" s="43"/>
      <c r="G53" s="526"/>
      <c r="H53" s="513"/>
    </row>
    <row r="54" spans="2:8" x14ac:dyDescent="0.25">
      <c r="B54" s="23"/>
      <c r="C54" s="522"/>
      <c r="D54" s="523"/>
      <c r="E54" s="524"/>
      <c r="F54" s="43"/>
      <c r="G54" s="526"/>
      <c r="H54" s="513"/>
    </row>
    <row r="55" spans="2:8" x14ac:dyDescent="0.25">
      <c r="B55" s="23"/>
      <c r="C55" s="522"/>
      <c r="D55" s="523"/>
      <c r="E55" s="524"/>
      <c r="F55" s="43"/>
      <c r="G55" s="526"/>
      <c r="H55" s="513"/>
    </row>
    <row r="56" spans="2:8" x14ac:dyDescent="0.25">
      <c r="B56" s="23"/>
      <c r="C56" s="522"/>
      <c r="D56" s="523"/>
      <c r="E56" s="524"/>
      <c r="F56" s="43"/>
      <c r="G56" s="526"/>
      <c r="H56" s="513"/>
    </row>
    <row r="57" spans="2:8" x14ac:dyDescent="0.25">
      <c r="B57" s="22"/>
      <c r="C57" s="522"/>
      <c r="D57" s="523"/>
      <c r="E57" s="524"/>
      <c r="F57" s="43"/>
      <c r="G57" s="526"/>
      <c r="H57" s="513"/>
    </row>
    <row r="58" spans="2:8" x14ac:dyDescent="0.25">
      <c r="B58" s="22"/>
      <c r="C58" s="162"/>
      <c r="E58" s="147"/>
      <c r="F58" s="43"/>
      <c r="G58" s="13"/>
      <c r="H58" s="161"/>
    </row>
    <row r="59" spans="2:8" x14ac:dyDescent="0.25">
      <c r="B59" s="22"/>
      <c r="C59" s="162"/>
      <c r="E59" s="147"/>
      <c r="F59" s="43"/>
      <c r="G59" s="13"/>
      <c r="H59" s="161"/>
    </row>
    <row r="60" spans="2:8" x14ac:dyDescent="0.25">
      <c r="B60" s="22"/>
      <c r="C60" s="162"/>
      <c r="E60" s="147"/>
      <c r="F60" s="43"/>
      <c r="G60" s="13"/>
      <c r="H60" s="161"/>
    </row>
    <row r="61" spans="2:8" x14ac:dyDescent="0.25">
      <c r="B61" s="22"/>
      <c r="C61" s="162"/>
      <c r="E61" s="147"/>
      <c r="F61" s="43"/>
      <c r="G61" s="13"/>
      <c r="H61" s="161"/>
    </row>
    <row r="62" spans="2:8" x14ac:dyDescent="0.25">
      <c r="B62" s="23"/>
      <c r="C62" s="522"/>
      <c r="D62" s="523"/>
      <c r="E62" s="524"/>
      <c r="F62" s="43"/>
      <c r="G62" s="526"/>
      <c r="H62" s="513"/>
    </row>
    <row r="63" spans="2:8" x14ac:dyDescent="0.25">
      <c r="B63" s="22"/>
      <c r="C63" s="522"/>
      <c r="D63" s="523"/>
      <c r="E63" s="524"/>
      <c r="F63" s="43"/>
      <c r="G63" s="526"/>
      <c r="H63" s="513"/>
    </row>
    <row r="64" spans="2:8" x14ac:dyDescent="0.25">
      <c r="B64" s="23"/>
      <c r="C64" s="522"/>
      <c r="D64" s="523"/>
      <c r="E64" s="524"/>
      <c r="F64" s="43"/>
      <c r="G64" s="526"/>
      <c r="H64" s="513"/>
    </row>
    <row r="65" spans="2:9" x14ac:dyDescent="0.25">
      <c r="B65" s="23"/>
      <c r="C65" s="522"/>
      <c r="D65" s="523"/>
      <c r="E65" s="524"/>
      <c r="F65" s="43"/>
      <c r="G65" s="526"/>
      <c r="H65" s="513"/>
    </row>
    <row r="66" spans="2:9" x14ac:dyDescent="0.25">
      <c r="B66" s="23"/>
      <c r="C66" s="522"/>
      <c r="D66" s="523"/>
      <c r="E66" s="524"/>
      <c r="F66" s="43"/>
      <c r="G66" s="526"/>
      <c r="H66" s="513"/>
    </row>
    <row r="67" spans="2:9" x14ac:dyDescent="0.25">
      <c r="B67" s="23"/>
      <c r="C67" s="522"/>
      <c r="D67" s="523"/>
      <c r="E67" s="524"/>
      <c r="F67" s="43"/>
      <c r="G67" s="526"/>
      <c r="H67" s="513"/>
    </row>
    <row r="68" spans="2:9" x14ac:dyDescent="0.25">
      <c r="B68" s="23"/>
      <c r="C68" s="522"/>
      <c r="D68" s="523"/>
      <c r="E68" s="524"/>
      <c r="F68" s="43"/>
      <c r="G68" s="526"/>
      <c r="H68" s="513"/>
    </row>
    <row r="69" spans="2:9" x14ac:dyDescent="0.25">
      <c r="B69" s="160"/>
      <c r="C69" s="592"/>
      <c r="D69" s="593"/>
      <c r="E69" s="594"/>
      <c r="F69" s="157"/>
      <c r="G69" s="595"/>
      <c r="H69" s="514"/>
    </row>
    <row r="70" spans="2:9" s="31" customFormat="1" ht="19.5" customHeight="1" x14ac:dyDescent="0.25">
      <c r="B70" s="532" t="str">
        <f>_xlfn.CONCAT("TOTAL SCHEDULE"," ",B9," : ",C9)</f>
        <v>TOTAL SCHEDULE F : SMALL CONTRACTOR DEVELOPMENT</v>
      </c>
      <c r="C70" s="533"/>
      <c r="D70" s="533"/>
      <c r="E70" s="533"/>
      <c r="F70" s="533"/>
      <c r="G70" s="590">
        <f>SUM(G9:H69)</f>
        <v>30099061</v>
      </c>
      <c r="H70" s="591"/>
      <c r="I70" s="37"/>
    </row>
    <row r="1048493" spans="3:5" x14ac:dyDescent="0.25">
      <c r="C1048493" s="522"/>
      <c r="D1048493" s="522"/>
      <c r="E1048493" s="522"/>
    </row>
  </sheetData>
  <mergeCells count="123">
    <mergeCell ref="B70:F70"/>
    <mergeCell ref="G70:H70"/>
    <mergeCell ref="C1048493:E1048493"/>
    <mergeCell ref="C67:E67"/>
    <mergeCell ref="G67:H67"/>
    <mergeCell ref="C68:E68"/>
    <mergeCell ref="G68:H68"/>
    <mergeCell ref="C69:E69"/>
    <mergeCell ref="G69:H69"/>
    <mergeCell ref="C64:E64"/>
    <mergeCell ref="G64:H64"/>
    <mergeCell ref="C65:E65"/>
    <mergeCell ref="G65:H65"/>
    <mergeCell ref="C66:E66"/>
    <mergeCell ref="G66:H66"/>
    <mergeCell ref="C57:E57"/>
    <mergeCell ref="G57:H57"/>
    <mergeCell ref="C62:E62"/>
    <mergeCell ref="G62:H62"/>
    <mergeCell ref="C63:E63"/>
    <mergeCell ref="G63:H63"/>
    <mergeCell ref="C54:E54"/>
    <mergeCell ref="G54:H54"/>
    <mergeCell ref="C55:E55"/>
    <mergeCell ref="G55:H55"/>
    <mergeCell ref="C56:E56"/>
    <mergeCell ref="G56:H56"/>
    <mergeCell ref="C51:E51"/>
    <mergeCell ref="G51:H51"/>
    <mergeCell ref="C52:E52"/>
    <mergeCell ref="G52:H52"/>
    <mergeCell ref="C53:E53"/>
    <mergeCell ref="G53:H53"/>
    <mergeCell ref="C48:E48"/>
    <mergeCell ref="G48:H48"/>
    <mergeCell ref="C49:E49"/>
    <mergeCell ref="G49:H49"/>
    <mergeCell ref="C50:E50"/>
    <mergeCell ref="G50:H50"/>
    <mergeCell ref="C45:E45"/>
    <mergeCell ref="G45:H45"/>
    <mergeCell ref="C46:E46"/>
    <mergeCell ref="G46:H46"/>
    <mergeCell ref="C47:E47"/>
    <mergeCell ref="G47:H47"/>
    <mergeCell ref="C42:E42"/>
    <mergeCell ref="G42:H42"/>
    <mergeCell ref="C43:E43"/>
    <mergeCell ref="G43:H43"/>
    <mergeCell ref="C44:E44"/>
    <mergeCell ref="G44:H44"/>
    <mergeCell ref="C39:E39"/>
    <mergeCell ref="G39:H39"/>
    <mergeCell ref="C40:E40"/>
    <mergeCell ref="G40:H40"/>
    <mergeCell ref="C41:E41"/>
    <mergeCell ref="G41:H41"/>
    <mergeCell ref="C36:E36"/>
    <mergeCell ref="G36:H36"/>
    <mergeCell ref="C37:E37"/>
    <mergeCell ref="G37:H37"/>
    <mergeCell ref="C38:E38"/>
    <mergeCell ref="G38:H38"/>
    <mergeCell ref="C33:E33"/>
    <mergeCell ref="G33:H33"/>
    <mergeCell ref="C34:E34"/>
    <mergeCell ref="G34:H34"/>
    <mergeCell ref="C35:E35"/>
    <mergeCell ref="G35:H35"/>
    <mergeCell ref="C30:E30"/>
    <mergeCell ref="G30:H30"/>
    <mergeCell ref="C31:E31"/>
    <mergeCell ref="G31:H31"/>
    <mergeCell ref="C32:E32"/>
    <mergeCell ref="G32:H32"/>
    <mergeCell ref="C27:E27"/>
    <mergeCell ref="G27:H27"/>
    <mergeCell ref="C28:E28"/>
    <mergeCell ref="G28:H28"/>
    <mergeCell ref="C29:E29"/>
    <mergeCell ref="G29:H29"/>
    <mergeCell ref="C24:E24"/>
    <mergeCell ref="G24:H24"/>
    <mergeCell ref="C25:E25"/>
    <mergeCell ref="G25:H25"/>
    <mergeCell ref="C26:E26"/>
    <mergeCell ref="G26:H26"/>
    <mergeCell ref="C21:E21"/>
    <mergeCell ref="G21:H21"/>
    <mergeCell ref="C22:E22"/>
    <mergeCell ref="G22:H22"/>
    <mergeCell ref="C23:E23"/>
    <mergeCell ref="G23:H23"/>
    <mergeCell ref="C19:E19"/>
    <mergeCell ref="G19:H19"/>
    <mergeCell ref="C20:E20"/>
    <mergeCell ref="G20:H20"/>
    <mergeCell ref="C15:E15"/>
    <mergeCell ref="G15:H15"/>
    <mergeCell ref="C16:E16"/>
    <mergeCell ref="G16:H16"/>
    <mergeCell ref="C17:E17"/>
    <mergeCell ref="G17:H17"/>
    <mergeCell ref="C14:E14"/>
    <mergeCell ref="G14:H14"/>
    <mergeCell ref="C9:E9"/>
    <mergeCell ref="G9:H9"/>
    <mergeCell ref="C10:E10"/>
    <mergeCell ref="G10:H10"/>
    <mergeCell ref="C11:E11"/>
    <mergeCell ref="G11:H11"/>
    <mergeCell ref="C18:E18"/>
    <mergeCell ref="G18:H18"/>
    <mergeCell ref="F1:H1"/>
    <mergeCell ref="B4:G6"/>
    <mergeCell ref="H4:H6"/>
    <mergeCell ref="B7:H7"/>
    <mergeCell ref="C8:E8"/>
    <mergeCell ref="G8:H8"/>
    <mergeCell ref="C12:E12"/>
    <mergeCell ref="G12:H12"/>
    <mergeCell ref="C13:E13"/>
    <mergeCell ref="G13:H13"/>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9FFE-A91C-49D8-9FA6-773E8C537997}">
  <sheetPr>
    <tabColor theme="3" tint="0.59999389629810485"/>
  </sheetPr>
  <dimension ref="B1:O24"/>
  <sheetViews>
    <sheetView view="pageBreakPreview" zoomScaleNormal="100" zoomScaleSheetLayoutView="100" zoomScalePageLayoutView="150" workbookViewId="0">
      <selection activeCell="F1" sqref="F1:H1"/>
    </sheetView>
  </sheetViews>
  <sheetFormatPr defaultColWidth="8.6640625" defaultRowHeight="13.2" x14ac:dyDescent="0.25"/>
  <cols>
    <col min="1" max="1" width="0.6640625" style="56" customWidth="1"/>
    <col min="2" max="2" width="11.5546875" style="59" customWidth="1"/>
    <col min="3" max="3" width="45.5546875" style="57" customWidth="1"/>
    <col min="4" max="4" width="13.5546875" style="57" customWidth="1"/>
    <col min="5" max="5" width="5.5546875" style="144" customWidth="1"/>
    <col min="6" max="7" width="15.5546875" style="56" customWidth="1"/>
    <col min="8" max="8" width="15.5546875" style="145" customWidth="1"/>
    <col min="9" max="9" width="0.6640625" style="56" customWidth="1"/>
    <col min="10" max="10" width="12.44140625" style="56" bestFit="1" customWidth="1"/>
    <col min="11" max="11" width="15.44140625" style="56" customWidth="1"/>
    <col min="12" max="12" width="15.6640625" style="56" customWidth="1"/>
    <col min="13" max="13" width="57.5546875" style="56" customWidth="1"/>
    <col min="14" max="16384" width="8.6640625" style="56"/>
  </cols>
  <sheetData>
    <row r="1" spans="2:15" x14ac:dyDescent="0.25">
      <c r="B1" s="2" t="str">
        <f>Client1</f>
        <v>Province of KwaZulu-Natal</v>
      </c>
      <c r="D1" s="4"/>
      <c r="E1" s="4"/>
      <c r="F1" s="510" t="str">
        <f>"Contract No. "&amp;ContractNo</f>
        <v>Contract No. ZNB02215/00000/00/HOD/INF/23/T</v>
      </c>
      <c r="G1" s="510"/>
      <c r="H1" s="510"/>
    </row>
    <row r="2" spans="2:15" s="1" customFormat="1" ht="18" customHeight="1" x14ac:dyDescent="0.25">
      <c r="B2" s="96" t="str">
        <f>Client2</f>
        <v>Department of Transport</v>
      </c>
      <c r="C2" s="57"/>
      <c r="D2" s="4"/>
      <c r="E2" s="4"/>
      <c r="F2" s="4"/>
      <c r="H2" s="5"/>
      <c r="L2" s="4"/>
    </row>
    <row r="3" spans="2:15" s="1" customFormat="1" ht="16.5" customHeight="1" x14ac:dyDescent="0.25">
      <c r="B3" s="84"/>
      <c r="C3" s="99"/>
      <c r="D3" s="85"/>
      <c r="E3" s="85"/>
      <c r="F3" s="85"/>
      <c r="G3" s="86"/>
      <c r="H3" s="98"/>
      <c r="J3" s="5"/>
      <c r="K3" s="5"/>
      <c r="L3" s="4"/>
    </row>
    <row r="4" spans="2:15" s="1" customFormat="1" ht="7.5" customHeight="1" x14ac:dyDescent="0.25">
      <c r="B4" s="500" t="str">
        <f>ContractDescription</f>
        <v>UPGRADING OF MAIN ROAD P8/3 FROM GRAVEL TO BLACKTOP BETWEEN KM 17.560 AND KM 24.221 IN THE PIETERMARITZBURG REGION</v>
      </c>
      <c r="C4" s="501"/>
      <c r="D4" s="501"/>
      <c r="E4" s="501"/>
      <c r="F4" s="501"/>
      <c r="G4" s="501"/>
      <c r="H4" s="539"/>
      <c r="J4" s="5"/>
      <c r="K4" s="5"/>
      <c r="L4" s="4"/>
    </row>
    <row r="5" spans="2:15" ht="12.75" customHeight="1" x14ac:dyDescent="0.25">
      <c r="B5" s="500"/>
      <c r="C5" s="501"/>
      <c r="D5" s="501"/>
      <c r="E5" s="501"/>
      <c r="F5" s="501"/>
      <c r="G5" s="501"/>
      <c r="H5" s="539"/>
    </row>
    <row r="6" spans="2:15" ht="7.5" customHeight="1" x14ac:dyDescent="0.25">
      <c r="B6" s="502"/>
      <c r="C6" s="503"/>
      <c r="D6" s="503"/>
      <c r="E6" s="503"/>
      <c r="F6" s="503"/>
      <c r="G6" s="503"/>
      <c r="H6" s="540"/>
    </row>
    <row r="7" spans="2:15" ht="25.5" customHeight="1" x14ac:dyDescent="0.25">
      <c r="B7" s="576" t="s">
        <v>952</v>
      </c>
      <c r="C7" s="577"/>
      <c r="D7" s="577"/>
      <c r="E7" s="577"/>
      <c r="F7" s="577"/>
      <c r="G7" s="577"/>
      <c r="H7" s="578"/>
    </row>
    <row r="8" spans="2:15" x14ac:dyDescent="0.25">
      <c r="B8" s="579" t="s">
        <v>1006</v>
      </c>
      <c r="C8" s="580"/>
      <c r="D8" s="580"/>
      <c r="E8" s="581"/>
      <c r="F8" s="12" t="s">
        <v>951</v>
      </c>
      <c r="G8" s="580" t="s">
        <v>5</v>
      </c>
      <c r="H8" s="581"/>
      <c r="O8" s="145"/>
    </row>
    <row r="9" spans="2:15" x14ac:dyDescent="0.25">
      <c r="B9" s="529" t="str">
        <f>'Summary Checking'!B129</f>
        <v>TOTAL SCHEDULE A: ROADWORKS</v>
      </c>
      <c r="C9" s="530"/>
      <c r="D9" s="530"/>
      <c r="E9" s="531"/>
      <c r="F9" s="43"/>
      <c r="G9" s="602">
        <f>A!G56</f>
        <v>1135000</v>
      </c>
      <c r="H9" s="603"/>
      <c r="L9" s="314">
        <v>50151923.030000001</v>
      </c>
      <c r="M9" s="350" t="s">
        <v>1382</v>
      </c>
      <c r="O9" s="145"/>
    </row>
    <row r="10" spans="2:15" x14ac:dyDescent="0.25">
      <c r="B10" s="522" t="str">
        <f>E!B69</f>
        <v>TOTAL SCHEDULE E : EXPANDED PUBLIC WORKS PROGRAMME (EPWP)</v>
      </c>
      <c r="C10" s="523"/>
      <c r="D10" s="523"/>
      <c r="E10" s="524"/>
      <c r="F10" s="43"/>
      <c r="G10" s="604">
        <f>E!G69</f>
        <v>3050000</v>
      </c>
      <c r="H10" s="605"/>
      <c r="L10" s="314">
        <v>521125</v>
      </c>
      <c r="M10" s="350" t="s">
        <v>1384</v>
      </c>
    </row>
    <row r="11" spans="2:15" x14ac:dyDescent="0.25">
      <c r="B11" s="522" t="str">
        <f>F!B70</f>
        <v>TOTAL SCHEDULE F : SMALL CONTRACTOR DEVELOPMENT</v>
      </c>
      <c r="C11" s="523"/>
      <c r="D11" s="523"/>
      <c r="E11" s="524"/>
      <c r="F11" s="43"/>
      <c r="G11" s="604">
        <f>F!G70</f>
        <v>30099061</v>
      </c>
      <c r="H11" s="605"/>
      <c r="J11" s="376">
        <v>2.4337434449374746</v>
      </c>
      <c r="L11" s="314">
        <v>3558000</v>
      </c>
      <c r="M11" s="350" t="s">
        <v>1385</v>
      </c>
    </row>
    <row r="12" spans="2:15" ht="6" customHeight="1" thickBot="1" x14ac:dyDescent="0.3">
      <c r="B12" s="522"/>
      <c r="C12" s="523"/>
      <c r="D12" s="523"/>
      <c r="E12" s="524"/>
      <c r="F12" s="43"/>
      <c r="G12" s="526"/>
      <c r="H12" s="513"/>
      <c r="L12" s="314">
        <v>38098346.399999999</v>
      </c>
      <c r="M12" s="350" t="s">
        <v>1396</v>
      </c>
    </row>
    <row r="13" spans="2:15" s="31" customFormat="1" ht="19.5" customHeight="1" thickBot="1" x14ac:dyDescent="0.3">
      <c r="B13" s="532" t="s">
        <v>1008</v>
      </c>
      <c r="C13" s="533"/>
      <c r="D13" s="533"/>
      <c r="E13" s="533"/>
      <c r="F13" s="533"/>
      <c r="G13" s="590">
        <f>SUM(G9:H12)</f>
        <v>34284061</v>
      </c>
      <c r="H13" s="591"/>
      <c r="I13" s="37"/>
      <c r="J13" s="462">
        <f>K13-G13</f>
        <v>58736115.799999997</v>
      </c>
      <c r="K13" s="343">
        <v>93020176.799999997</v>
      </c>
      <c r="L13" s="342"/>
    </row>
    <row r="14" spans="2:15" s="31" customFormat="1" ht="19.5" customHeight="1" thickBot="1" x14ac:dyDescent="0.3">
      <c r="B14" s="608" t="str">
        <f>"CONTINGENCIES ("&amp;TEXT(J14,"0.0%")&amp;" of Subtotal 1)"</f>
        <v>CONTINGENCIES (10.0% of Subtotal 1)</v>
      </c>
      <c r="C14" s="609"/>
      <c r="D14" s="609"/>
      <c r="E14" s="609"/>
      <c r="F14" s="609"/>
      <c r="G14" s="606">
        <f>G13*J14</f>
        <v>3428406.1</v>
      </c>
      <c r="H14" s="607"/>
      <c r="I14" s="37"/>
      <c r="J14" s="171">
        <v>0.1</v>
      </c>
      <c r="L14" s="343">
        <v>92329394.430000007</v>
      </c>
      <c r="M14" s="351" t="s">
        <v>1397</v>
      </c>
    </row>
    <row r="15" spans="2:15" s="31" customFormat="1" ht="19.5" customHeight="1" thickBot="1" x14ac:dyDescent="0.3">
      <c r="B15" s="532" t="s">
        <v>1009</v>
      </c>
      <c r="C15" s="533"/>
      <c r="D15" s="533"/>
      <c r="E15" s="533"/>
      <c r="F15" s="533"/>
      <c r="G15" s="590">
        <f>SUM(G13:H14)</f>
        <v>37712467.100000001</v>
      </c>
      <c r="H15" s="591"/>
      <c r="I15" s="37"/>
      <c r="L15" s="344">
        <v>9232939.4399999995</v>
      </c>
      <c r="M15" s="352" t="str">
        <f>"CONTINGENCIES ("&amp;TEXT(T15,"0.0%")&amp;" of Subtotal 1)"</f>
        <v>CONTINGENCIES (0.0% of Subtotal 1)</v>
      </c>
    </row>
    <row r="16" spans="2:15" s="31" customFormat="1" ht="19.5" customHeight="1" thickBot="1" x14ac:dyDescent="0.3">
      <c r="B16" s="608" t="str">
        <f>"CONTRACT PRICE ADJUSTMENT AND RISE &amp; FALL ("&amp;TEXT(J16,"0.0%")&amp;" of Subtotal 2)"</f>
        <v>CONTRACT PRICE ADJUSTMENT AND RISE &amp; FALL (10.0% of Subtotal 2)</v>
      </c>
      <c r="C16" s="609"/>
      <c r="D16" s="609"/>
      <c r="E16" s="609"/>
      <c r="F16" s="609"/>
      <c r="G16" s="606">
        <f>G15*J16</f>
        <v>3771246.7100000004</v>
      </c>
      <c r="H16" s="607"/>
      <c r="I16" s="37"/>
      <c r="J16" s="171">
        <v>0.1</v>
      </c>
      <c r="L16" s="345">
        <v>101562333.87</v>
      </c>
      <c r="M16" s="351" t="s">
        <v>1398</v>
      </c>
    </row>
    <row r="17" spans="2:13" s="31" customFormat="1" ht="19.5" customHeight="1" thickBot="1" x14ac:dyDescent="0.3">
      <c r="B17" s="532" t="s">
        <v>1010</v>
      </c>
      <c r="C17" s="533"/>
      <c r="D17" s="533"/>
      <c r="E17" s="533"/>
      <c r="F17" s="533"/>
      <c r="G17" s="590">
        <f>SUM(G15:H16)</f>
        <v>41483713.810000002</v>
      </c>
      <c r="H17" s="591"/>
      <c r="I17" s="37"/>
      <c r="L17" s="346">
        <v>10156233.390000001</v>
      </c>
      <c r="M17" s="353" t="str">
        <f>"CONTRACT PRICE ADJUSTMENT AND RISE &amp; FALL ("&amp;TEXT(T17,"0.0%")&amp;" of Subtotal 2)"</f>
        <v>CONTRACT PRICE ADJUSTMENT AND RISE &amp; FALL (0.0% of Subtotal 2)</v>
      </c>
    </row>
    <row r="18" spans="2:13" s="31" customFormat="1" ht="19.5" customHeight="1" thickBot="1" x14ac:dyDescent="0.3">
      <c r="B18" s="608" t="s">
        <v>953</v>
      </c>
      <c r="C18" s="609"/>
      <c r="D18" s="609"/>
      <c r="E18" s="609"/>
      <c r="F18" s="609"/>
      <c r="G18" s="606">
        <f>G17*J18</f>
        <v>6222557.0715000005</v>
      </c>
      <c r="H18" s="607"/>
      <c r="I18" s="37"/>
      <c r="J18" s="171">
        <v>0.15</v>
      </c>
      <c r="L18" s="347">
        <v>111718567.26000001</v>
      </c>
      <c r="M18" s="351" t="s">
        <v>1399</v>
      </c>
    </row>
    <row r="19" spans="2:13" s="31" customFormat="1" ht="19.5" customHeight="1" thickBot="1" x14ac:dyDescent="0.3">
      <c r="B19" s="532" t="s">
        <v>954</v>
      </c>
      <c r="C19" s="533"/>
      <c r="D19" s="533"/>
      <c r="E19" s="533"/>
      <c r="F19" s="533"/>
      <c r="G19" s="590">
        <f>SUM(G17:H18)</f>
        <v>47706270.881500006</v>
      </c>
      <c r="H19" s="591"/>
      <c r="I19" s="37"/>
      <c r="K19" s="31" t="s">
        <v>1400</v>
      </c>
      <c r="L19" s="348">
        <v>16757785.09</v>
      </c>
      <c r="M19" s="353" t="s">
        <v>953</v>
      </c>
    </row>
    <row r="20" spans="2:13" ht="13.8" thickBot="1" x14ac:dyDescent="0.3">
      <c r="K20" s="235">
        <f>G19-L20</f>
        <v>-80770081.468500003</v>
      </c>
      <c r="L20" s="349">
        <v>128476352.35000001</v>
      </c>
      <c r="M20" s="351" t="s">
        <v>954</v>
      </c>
    </row>
    <row r="21" spans="2:13" ht="70.2" customHeight="1" x14ac:dyDescent="0.25">
      <c r="B21" s="611" t="s">
        <v>1011</v>
      </c>
      <c r="C21" s="611"/>
      <c r="D21" s="611"/>
      <c r="E21" s="611"/>
      <c r="F21" s="611"/>
      <c r="G21" s="611"/>
      <c r="H21" s="611"/>
    </row>
    <row r="22" spans="2:13" x14ac:dyDescent="0.25">
      <c r="B22" s="163"/>
      <c r="C22" s="163"/>
      <c r="D22" s="163"/>
      <c r="E22" s="163"/>
      <c r="F22" s="163"/>
      <c r="G22" s="163"/>
      <c r="H22" s="163"/>
    </row>
    <row r="23" spans="2:13" x14ac:dyDescent="0.25">
      <c r="B23" s="549" t="s">
        <v>955</v>
      </c>
      <c r="C23" s="549"/>
      <c r="D23" s="549"/>
      <c r="E23" s="549"/>
      <c r="F23" s="549"/>
      <c r="G23" s="549"/>
      <c r="H23" s="549"/>
    </row>
    <row r="24" spans="2:13" ht="40.200000000000003" customHeight="1" x14ac:dyDescent="0.25">
      <c r="B24" s="610" t="s">
        <v>956</v>
      </c>
      <c r="C24" s="610"/>
      <c r="D24" s="610"/>
      <c r="E24" s="610"/>
      <c r="F24" s="610"/>
      <c r="G24" s="610"/>
      <c r="H24" s="610"/>
    </row>
  </sheetData>
  <mergeCells count="31">
    <mergeCell ref="B24:H24"/>
    <mergeCell ref="B21:H21"/>
    <mergeCell ref="B13:F13"/>
    <mergeCell ref="G13:H13"/>
    <mergeCell ref="G14:H14"/>
    <mergeCell ref="B14:F14"/>
    <mergeCell ref="B15:F15"/>
    <mergeCell ref="G15:H15"/>
    <mergeCell ref="B16:F16"/>
    <mergeCell ref="G10:H10"/>
    <mergeCell ref="G11:H11"/>
    <mergeCell ref="G12:H12"/>
    <mergeCell ref="B23:H23"/>
    <mergeCell ref="G18:H18"/>
    <mergeCell ref="G19:H19"/>
    <mergeCell ref="B18:F18"/>
    <mergeCell ref="B19:F19"/>
    <mergeCell ref="G16:H16"/>
    <mergeCell ref="G17:H17"/>
    <mergeCell ref="B17:F17"/>
    <mergeCell ref="B10:E10"/>
    <mergeCell ref="B11:E11"/>
    <mergeCell ref="B12:E12"/>
    <mergeCell ref="G9:H9"/>
    <mergeCell ref="F1:H1"/>
    <mergeCell ref="B4:G6"/>
    <mergeCell ref="H4:H6"/>
    <mergeCell ref="B7:H7"/>
    <mergeCell ref="G8:H8"/>
    <mergeCell ref="B8:E8"/>
    <mergeCell ref="B9:E9"/>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65D34-CF57-40E8-A7D2-491470DE9F10}">
  <sheetPr codeName="Sheet90">
    <tabColor theme="3" tint="0.59999389629810485"/>
  </sheetPr>
  <dimension ref="B1:Q129"/>
  <sheetViews>
    <sheetView view="pageBreakPreview" topLeftCell="A65" zoomScaleNormal="100" zoomScaleSheetLayoutView="100" zoomScalePageLayoutView="150" workbookViewId="0">
      <selection activeCell="F1" sqref="F1:H1"/>
    </sheetView>
  </sheetViews>
  <sheetFormatPr defaultColWidth="8.6640625" defaultRowHeight="13.2" x14ac:dyDescent="0.25"/>
  <cols>
    <col min="1" max="1" width="0.6640625" style="56" customWidth="1"/>
    <col min="2" max="2" width="11.5546875" style="59" customWidth="1"/>
    <col min="3" max="3" width="45.5546875" style="57" customWidth="1"/>
    <col min="4" max="4" width="13.5546875" style="57" customWidth="1"/>
    <col min="5" max="5" width="5.5546875" style="144" customWidth="1"/>
    <col min="6" max="7" width="15.5546875" style="56" customWidth="1"/>
    <col min="8" max="8" width="15.5546875" style="145" customWidth="1"/>
    <col min="9" max="9" width="0.6640625" style="56" customWidth="1"/>
    <col min="10" max="10" width="8.6640625" style="56"/>
    <col min="11" max="11" width="15.44140625" style="56" customWidth="1"/>
    <col min="12" max="12" width="12.5546875" style="56" customWidth="1"/>
    <col min="13" max="13" width="9.44140625" style="56" customWidth="1"/>
    <col min="14" max="16384" width="8.6640625" style="56"/>
  </cols>
  <sheetData>
    <row r="1" spans="2:17" x14ac:dyDescent="0.25">
      <c r="B1" s="2" t="str">
        <f>Client1</f>
        <v>Province of KwaZulu-Natal</v>
      </c>
      <c r="D1" s="4"/>
      <c r="E1" s="4"/>
      <c r="F1" s="510" t="str">
        <f>"Contract No. "&amp;ContractNo</f>
        <v>Contract No. ZNB02215/00000/00/HOD/INF/23/T</v>
      </c>
      <c r="G1" s="510"/>
      <c r="H1" s="510"/>
    </row>
    <row r="2" spans="2:17" s="1" customFormat="1" ht="18" customHeight="1" x14ac:dyDescent="0.25">
      <c r="B2" s="96" t="str">
        <f>Client2</f>
        <v>Department of Transport</v>
      </c>
      <c r="C2" s="57"/>
      <c r="D2" s="4"/>
      <c r="E2" s="4"/>
      <c r="F2" s="4"/>
      <c r="H2" s="5"/>
      <c r="L2" s="4"/>
    </row>
    <row r="3" spans="2:17" s="1" customFormat="1" ht="16.5" customHeight="1" x14ac:dyDescent="0.25">
      <c r="B3" s="84"/>
      <c r="C3" s="99"/>
      <c r="D3" s="85"/>
      <c r="E3" s="85"/>
      <c r="F3" s="85"/>
      <c r="G3" s="86"/>
      <c r="H3" s="98"/>
      <c r="J3" s="5"/>
      <c r="K3" s="5"/>
      <c r="L3" s="4"/>
    </row>
    <row r="4" spans="2:17" s="1" customFormat="1" ht="7.5" customHeight="1" x14ac:dyDescent="0.25">
      <c r="B4" s="500" t="str">
        <f>ContractDescription</f>
        <v>UPGRADING OF MAIN ROAD P8/3 FROM GRAVEL TO BLACKTOP BETWEEN KM 17.560 AND KM 24.221 IN THE PIETERMARITZBURG REGION</v>
      </c>
      <c r="C4" s="501"/>
      <c r="D4" s="501"/>
      <c r="E4" s="501"/>
      <c r="F4" s="501"/>
      <c r="G4" s="501"/>
      <c r="H4" s="539"/>
      <c r="J4" s="5"/>
      <c r="K4" s="5"/>
      <c r="L4" s="4"/>
    </row>
    <row r="5" spans="2:17" ht="12.75" customHeight="1" x14ac:dyDescent="0.25">
      <c r="B5" s="500"/>
      <c r="C5" s="501"/>
      <c r="D5" s="501"/>
      <c r="E5" s="501"/>
      <c r="F5" s="501"/>
      <c r="G5" s="501"/>
      <c r="H5" s="539"/>
    </row>
    <row r="6" spans="2:17" ht="7.5" customHeight="1" x14ac:dyDescent="0.25">
      <c r="B6" s="502"/>
      <c r="C6" s="503"/>
      <c r="D6" s="503"/>
      <c r="E6" s="503"/>
      <c r="F6" s="503"/>
      <c r="G6" s="503"/>
      <c r="H6" s="540"/>
    </row>
    <row r="7" spans="2:17" ht="25.5" customHeight="1" x14ac:dyDescent="0.25">
      <c r="B7" s="576" t="s">
        <v>969</v>
      </c>
      <c r="C7" s="577"/>
      <c r="D7" s="577"/>
      <c r="E7" s="577"/>
      <c r="F7" s="577"/>
      <c r="G7" s="577"/>
      <c r="H7" s="578"/>
      <c r="K7" s="235"/>
    </row>
    <row r="8" spans="2:17" x14ac:dyDescent="0.25">
      <c r="B8" s="12" t="s">
        <v>970</v>
      </c>
      <c r="C8" s="579" t="s">
        <v>1</v>
      </c>
      <c r="D8" s="580"/>
      <c r="E8" s="581"/>
      <c r="F8" s="12" t="s">
        <v>951</v>
      </c>
      <c r="G8" s="580" t="s">
        <v>5</v>
      </c>
      <c r="H8" s="581"/>
      <c r="K8" s="584">
        <f>K9+K10+K11+K12+K13+K14+K15+K16+K17+K18+K19+K20+K21+K22+K23+K24+K25+K26+K27+K28+K29+K30+K31+K32+K33+K34+K35+K37+K36++K38+K39+K40+K41+K42+K43+K44+K45+K46+K47+K48+K49+K50+K51+K52+K53+K54+K55</f>
        <v>29041954.5</v>
      </c>
      <c r="L8" s="530"/>
      <c r="M8" s="531"/>
      <c r="O8" s="145"/>
    </row>
    <row r="9" spans="2:17" x14ac:dyDescent="0.25">
      <c r="B9" s="23" t="str">
        <f>'C1.2'!B11</f>
        <v>C1.2</v>
      </c>
      <c r="C9" s="529" t="str">
        <f>'C1.2'!C11</f>
        <v>GENERAL REQUIREMENTS AND PAYMENT</v>
      </c>
      <c r="D9" s="530"/>
      <c r="E9" s="531"/>
      <c r="F9" s="43"/>
      <c r="G9" s="588">
        <f>K9</f>
        <v>700000</v>
      </c>
      <c r="H9" s="589"/>
      <c r="K9" s="529">
        <f>'C1.2'!H1</f>
        <v>700000</v>
      </c>
      <c r="L9" s="530"/>
      <c r="M9" s="531"/>
      <c r="N9" s="529">
        <f>'C1.2'!K11</f>
        <v>0</v>
      </c>
      <c r="O9" s="530"/>
      <c r="P9" s="531"/>
      <c r="Q9" s="56">
        <f>K9+K10</f>
        <v>700000</v>
      </c>
    </row>
    <row r="10" spans="2:17" ht="12.75" customHeight="1" x14ac:dyDescent="0.25">
      <c r="B10" s="23" t="str">
        <f>'C1.3'!B11</f>
        <v>C1.3</v>
      </c>
      <c r="C10" s="522" t="str">
        <f>'C1.3'!C11</f>
        <v>CONTRACTOR'S SITE ESTABLISHMENT AND GENERAL OBLIGATIONS</v>
      </c>
      <c r="D10" s="523">
        <f>'C1.3'!E11</f>
        <v>0</v>
      </c>
      <c r="E10" s="524" t="e">
        <f>'C1.3'!#REF!</f>
        <v>#REF!</v>
      </c>
      <c r="F10" s="43"/>
      <c r="G10" s="588">
        <f t="shared" ref="G10:G36" si="0">K10</f>
        <v>0</v>
      </c>
      <c r="H10" s="589"/>
      <c r="K10" s="522">
        <f>'C1.3'!H1</f>
        <v>0</v>
      </c>
      <c r="L10" s="523">
        <f>'C1.3'!I11</f>
        <v>0</v>
      </c>
      <c r="M10" s="524" t="e">
        <f>'C1.3'!#REF!</f>
        <v>#REF!</v>
      </c>
      <c r="N10" s="522">
        <f>'C1.3'!K11</f>
        <v>0</v>
      </c>
      <c r="O10" s="523">
        <f>'C1.3'!L11</f>
        <v>0</v>
      </c>
      <c r="P10" s="524" t="e">
        <f>'C1.3'!#REF!</f>
        <v>#REF!</v>
      </c>
      <c r="Q10" s="56">
        <f t="shared" ref="Q10:Q36" si="1">K10+K11</f>
        <v>200000</v>
      </c>
    </row>
    <row r="11" spans="2:17" ht="12.75" customHeight="1" x14ac:dyDescent="0.25">
      <c r="B11" s="23" t="str">
        <f>'C1.4'!B11</f>
        <v>C1.4</v>
      </c>
      <c r="C11" s="522" t="str">
        <f>'C1.4'!C11</f>
        <v>FACILITIES FOR THE ENGINEER</v>
      </c>
      <c r="D11" s="523">
        <f>'C1.4'!E11</f>
        <v>0</v>
      </c>
      <c r="E11" s="524" t="e">
        <f>'C1.4'!#REF!</f>
        <v>#REF!</v>
      </c>
      <c r="F11" s="43"/>
      <c r="G11" s="588">
        <f t="shared" si="0"/>
        <v>200000</v>
      </c>
      <c r="H11" s="589"/>
      <c r="K11" s="522">
        <f>'C1.4'!H1</f>
        <v>200000</v>
      </c>
      <c r="L11" s="523">
        <f>'C1.4'!I11</f>
        <v>0</v>
      </c>
      <c r="M11" s="524" t="e">
        <f>'C1.4'!#REF!</f>
        <v>#REF!</v>
      </c>
      <c r="N11" s="522">
        <f>'C1.4'!K11</f>
        <v>0</v>
      </c>
      <c r="O11" s="523">
        <f>'C1.4'!L11</f>
        <v>0</v>
      </c>
      <c r="P11" s="524" t="e">
        <f>'C1.4'!#REF!</f>
        <v>#REF!</v>
      </c>
      <c r="Q11" s="56">
        <f t="shared" si="1"/>
        <v>225000</v>
      </c>
    </row>
    <row r="12" spans="2:17" ht="12.75" customHeight="1" x14ac:dyDescent="0.25">
      <c r="B12" s="23" t="str">
        <f>'C1.5'!B11</f>
        <v>C1.5</v>
      </c>
      <c r="C12" s="522" t="str">
        <f>'C1.5'!C11</f>
        <v>ACCOMMODATION OF TRAFFIC</v>
      </c>
      <c r="D12" s="523">
        <f>'C1.5'!E11</f>
        <v>0</v>
      </c>
      <c r="E12" s="524" t="e">
        <f>'C1.5'!#REF!</f>
        <v>#REF!</v>
      </c>
      <c r="F12" s="43"/>
      <c r="G12" s="588">
        <f t="shared" si="0"/>
        <v>25000</v>
      </c>
      <c r="H12" s="589"/>
      <c r="K12" s="522">
        <f>'C1.5'!H1</f>
        <v>25000</v>
      </c>
      <c r="L12" s="523">
        <f>'C1.5'!I11</f>
        <v>0</v>
      </c>
      <c r="M12" s="524" t="e">
        <f>'C1.5'!#REF!</f>
        <v>#REF!</v>
      </c>
      <c r="N12" s="522">
        <f>'C1.5'!K11</f>
        <v>0</v>
      </c>
      <c r="O12" s="523">
        <f>'C1.5'!L11</f>
        <v>0</v>
      </c>
      <c r="P12" s="524" t="e">
        <f>'C1.5'!#REF!</f>
        <v>#REF!</v>
      </c>
      <c r="Q12" s="56">
        <f t="shared" si="1"/>
        <v>299475</v>
      </c>
    </row>
    <row r="13" spans="2:17" ht="12.75" customHeight="1" x14ac:dyDescent="0.25">
      <c r="B13" s="23" t="str">
        <f>'C1.6'!B11</f>
        <v>C1.6</v>
      </c>
      <c r="C13" s="522" t="str">
        <f>'C1.6'!C11</f>
        <v>CLEARING AND GRUBBING</v>
      </c>
      <c r="D13" s="523">
        <f>'C1.6'!E11</f>
        <v>0</v>
      </c>
      <c r="E13" s="524" t="e">
        <f>'C1.6'!#REF!</f>
        <v>#REF!</v>
      </c>
      <c r="F13" s="43"/>
      <c r="G13" s="588">
        <f t="shared" si="0"/>
        <v>274475</v>
      </c>
      <c r="H13" s="589"/>
      <c r="K13" s="522">
        <f>'C1.6'!H1</f>
        <v>274475</v>
      </c>
      <c r="L13" s="523">
        <f>'C1.6'!I11</f>
        <v>0</v>
      </c>
      <c r="M13" s="524" t="e">
        <f>'C1.6'!#REF!</f>
        <v>#REF!</v>
      </c>
      <c r="N13" s="522">
        <f>'C1.6'!K11</f>
        <v>0</v>
      </c>
      <c r="O13" s="523">
        <f>'C1.6'!L11</f>
        <v>0</v>
      </c>
      <c r="P13" s="524" t="e">
        <f>'C1.6'!#REF!</f>
        <v>#REF!</v>
      </c>
      <c r="Q13" s="56">
        <f t="shared" si="1"/>
        <v>274475</v>
      </c>
    </row>
    <row r="14" spans="2:17" ht="12.75" customHeight="1" x14ac:dyDescent="0.25">
      <c r="B14" s="23" t="str">
        <f>'C1.7'!B11</f>
        <v>C1.7</v>
      </c>
      <c r="C14" s="522" t="str">
        <f>'C1.7'!C11</f>
        <v>LOADING AND HAULING</v>
      </c>
      <c r="D14" s="523">
        <f>'C1.7'!E11</f>
        <v>0</v>
      </c>
      <c r="E14" s="524" t="e">
        <f>'C1.7'!#REF!</f>
        <v>#REF!</v>
      </c>
      <c r="F14" s="43"/>
      <c r="G14" s="588">
        <f t="shared" si="0"/>
        <v>0</v>
      </c>
      <c r="H14" s="589"/>
      <c r="K14" s="522">
        <f>'C1.7'!H1</f>
        <v>0</v>
      </c>
      <c r="L14" s="523">
        <f>'C1.7'!I11</f>
        <v>0</v>
      </c>
      <c r="M14" s="524" t="e">
        <f>'C1.7'!#REF!</f>
        <v>#REF!</v>
      </c>
      <c r="N14" s="522">
        <f>'C1.7'!K11</f>
        <v>0</v>
      </c>
      <c r="O14" s="523">
        <f>'C1.7'!L11</f>
        <v>0</v>
      </c>
      <c r="P14" s="524" t="e">
        <f>'C1.7'!#REF!</f>
        <v>#REF!</v>
      </c>
      <c r="Q14" s="56">
        <f t="shared" si="1"/>
        <v>20000</v>
      </c>
    </row>
    <row r="15" spans="2:17" ht="12.75" customHeight="1" x14ac:dyDescent="0.25">
      <c r="B15" s="23" t="str">
        <f>'C2.1'!B11</f>
        <v>C2.1</v>
      </c>
      <c r="C15" s="522" t="str">
        <f>'C2.1'!C11</f>
        <v>GENERAL REQUIREMENTS AND TRENCHING FOR SERVICES</v>
      </c>
      <c r="D15" s="523">
        <f>'C2.1'!E11</f>
        <v>0</v>
      </c>
      <c r="E15" s="524" t="e">
        <f>'C2.1'!#REF!</f>
        <v>#REF!</v>
      </c>
      <c r="F15" s="43"/>
      <c r="G15" s="588">
        <f t="shared" si="0"/>
        <v>20000</v>
      </c>
      <c r="H15" s="589"/>
      <c r="K15" s="522">
        <f>'C2.1'!H1</f>
        <v>20000</v>
      </c>
      <c r="L15" s="523">
        <f>'C2.1'!I11</f>
        <v>0</v>
      </c>
      <c r="M15" s="524" t="e">
        <f>'C2.1'!#REF!</f>
        <v>#REF!</v>
      </c>
      <c r="N15" s="522">
        <f>'C2.1'!K11</f>
        <v>0</v>
      </c>
      <c r="O15" s="523">
        <f>'C2.1'!L11</f>
        <v>0</v>
      </c>
      <c r="P15" s="524" t="e">
        <f>'C2.1'!#REF!</f>
        <v>#REF!</v>
      </c>
      <c r="Q15" s="56">
        <f t="shared" si="1"/>
        <v>20000</v>
      </c>
    </row>
    <row r="16" spans="2:17" ht="12.75" customHeight="1" x14ac:dyDescent="0.25">
      <c r="B16" s="23" t="str">
        <f>'C2.2'!B11</f>
        <v>C2.2</v>
      </c>
      <c r="C16" s="522" t="str">
        <f>'C2.2'!C11</f>
        <v>DRY SERVICES</v>
      </c>
      <c r="D16" s="523">
        <f>'C2.2'!E11</f>
        <v>0</v>
      </c>
      <c r="E16" s="524" t="e">
        <f>'C2.2'!#REF!</f>
        <v>#REF!</v>
      </c>
      <c r="F16" s="43"/>
      <c r="G16" s="588">
        <f t="shared" si="0"/>
        <v>0</v>
      </c>
      <c r="H16" s="589"/>
      <c r="K16" s="522">
        <f>'C2.2'!H1</f>
        <v>0</v>
      </c>
      <c r="L16" s="523">
        <f>'C2.2'!I11</f>
        <v>0</v>
      </c>
      <c r="M16" s="524" t="e">
        <f>'C2.2'!#REF!</f>
        <v>#REF!</v>
      </c>
      <c r="N16" s="522">
        <f>'C2.2'!K11</f>
        <v>0</v>
      </c>
      <c r="O16" s="523">
        <f>'C2.2'!L11</f>
        <v>0</v>
      </c>
      <c r="P16" s="524" t="e">
        <f>'C2.2'!#REF!</f>
        <v>#REF!</v>
      </c>
      <c r="Q16" s="56">
        <f t="shared" si="1"/>
        <v>2457574</v>
      </c>
    </row>
    <row r="17" spans="2:17" ht="12.75" customHeight="1" x14ac:dyDescent="0.25">
      <c r="B17" s="23" t="str">
        <f>'C3.1'!B11</f>
        <v>C3.1</v>
      </c>
      <c r="C17" s="522" t="str">
        <f>'C3.1'!C11</f>
        <v>DRAINS</v>
      </c>
      <c r="D17" s="523">
        <f>'C3.1'!E11</f>
        <v>0</v>
      </c>
      <c r="E17" s="524" t="e">
        <f>'C3.1'!#REF!</f>
        <v>#REF!</v>
      </c>
      <c r="F17" s="43"/>
      <c r="G17" s="588">
        <f t="shared" si="0"/>
        <v>2457574</v>
      </c>
      <c r="H17" s="589"/>
      <c r="K17" s="522">
        <f>'C3.1'!H1</f>
        <v>2457574</v>
      </c>
      <c r="L17" s="523">
        <f>'C3.1'!I11</f>
        <v>0</v>
      </c>
      <c r="M17" s="524" t="e">
        <f>'C3.1'!#REF!</f>
        <v>#REF!</v>
      </c>
      <c r="N17" s="522">
        <f>'C3.1'!K11</f>
        <v>0</v>
      </c>
      <c r="O17" s="523">
        <f>'C3.1'!L11</f>
        <v>0</v>
      </c>
      <c r="P17" s="524" t="e">
        <f>'C3.1'!#REF!</f>
        <v>#REF!</v>
      </c>
      <c r="Q17" s="56">
        <f t="shared" si="1"/>
        <v>5342813.5</v>
      </c>
    </row>
    <row r="18" spans="2:17" ht="12.75" customHeight="1" x14ac:dyDescent="0.25">
      <c r="B18" s="23" t="str">
        <f>'C3.2'!B10</f>
        <v>C3.2</v>
      </c>
      <c r="C18" s="522" t="str">
        <f>'C3.2'!C10</f>
        <v>CULVERTS</v>
      </c>
      <c r="D18" s="523">
        <f>'C3.2'!E10</f>
        <v>0</v>
      </c>
      <c r="E18" s="524" t="e">
        <f>'C3.2'!#REF!</f>
        <v>#REF!</v>
      </c>
      <c r="F18" s="43"/>
      <c r="G18" s="588">
        <f t="shared" si="0"/>
        <v>2885239.5</v>
      </c>
      <c r="H18" s="589"/>
      <c r="K18" s="522">
        <f>'C3.2'!H1</f>
        <v>2885239.5</v>
      </c>
      <c r="L18" s="523">
        <f>'C3.2'!I10</f>
        <v>0</v>
      </c>
      <c r="M18" s="524" t="e">
        <f>'C3.2'!#REF!</f>
        <v>#REF!</v>
      </c>
      <c r="N18" s="522">
        <f>'C3.2'!K10</f>
        <v>0</v>
      </c>
      <c r="O18" s="523">
        <f>'C3.2'!L10</f>
        <v>0</v>
      </c>
      <c r="P18" s="524" t="e">
        <f>'C3.2'!#REF!</f>
        <v>#REF!</v>
      </c>
      <c r="Q18" s="56">
        <f t="shared" si="1"/>
        <v>11255647.5</v>
      </c>
    </row>
    <row r="19" spans="2:17" ht="12.75" customHeight="1" x14ac:dyDescent="0.25">
      <c r="B19" s="23" t="str">
        <f>'C3.3'!B11</f>
        <v>C3.3</v>
      </c>
      <c r="C19" s="522" t="str">
        <f>'C3.3'!C11</f>
        <v>CONCRETE KERBING AND CHANNELING, ASPHALT BERMS, CHUTES, DOWNPIPES, AS WELL AS CONCRETE, STONE PITCHED AND GABION LININGS FOR OPEN DRAINS</v>
      </c>
      <c r="D19" s="523">
        <f>'C3.3'!E11</f>
        <v>0</v>
      </c>
      <c r="E19" s="524" t="e">
        <f>'C3.3'!#REF!</f>
        <v>#REF!</v>
      </c>
      <c r="F19" s="43"/>
      <c r="G19" s="588">
        <f t="shared" si="0"/>
        <v>8370408</v>
      </c>
      <c r="H19" s="589"/>
      <c r="K19" s="522">
        <f>'C3.3'!H1</f>
        <v>8370408</v>
      </c>
      <c r="L19" s="523">
        <f>'C3.3'!I11</f>
        <v>0</v>
      </c>
      <c r="M19" s="524" t="e">
        <f>'C3.3'!#REF!</f>
        <v>#REF!</v>
      </c>
      <c r="N19" s="522">
        <f>'C3.3'!K11</f>
        <v>0</v>
      </c>
      <c r="O19" s="523">
        <f>'C3.3'!L11</f>
        <v>0</v>
      </c>
      <c r="P19" s="524" t="e">
        <f>'C3.3'!#REF!</f>
        <v>#REF!</v>
      </c>
      <c r="Q19" s="56">
        <f t="shared" si="1"/>
        <v>8370408</v>
      </c>
    </row>
    <row r="20" spans="2:17" ht="12.75" customHeight="1" x14ac:dyDescent="0.25">
      <c r="B20" s="23" t="str">
        <f>'C4.1'!B11</f>
        <v>C4.1</v>
      </c>
      <c r="C20" s="522" t="str">
        <f>'C4.1'!C11</f>
        <v>BORROW MATERIALS</v>
      </c>
      <c r="D20" s="523">
        <f>'C4.1'!E11</f>
        <v>0</v>
      </c>
      <c r="E20" s="524" t="e">
        <f>'C4.1'!#REF!</f>
        <v>#REF!</v>
      </c>
      <c r="F20" s="43"/>
      <c r="G20" s="588">
        <f t="shared" si="0"/>
        <v>0</v>
      </c>
      <c r="H20" s="589"/>
      <c r="K20" s="522">
        <f>'C4.1'!H1</f>
        <v>0</v>
      </c>
      <c r="L20" s="523">
        <f>'C4.1'!I11</f>
        <v>0</v>
      </c>
      <c r="M20" s="524" t="e">
        <f>'C4.1'!#REF!</f>
        <v>#REF!</v>
      </c>
      <c r="N20" s="522">
        <f>'C4.1'!K11</f>
        <v>0</v>
      </c>
      <c r="O20" s="523">
        <f>'C4.1'!L11</f>
        <v>0</v>
      </c>
      <c r="P20" s="524" t="e">
        <f>'C4.1'!#REF!</f>
        <v>#REF!</v>
      </c>
      <c r="Q20" s="56">
        <f t="shared" si="1"/>
        <v>0</v>
      </c>
    </row>
    <row r="21" spans="2:17" ht="12.75" customHeight="1" x14ac:dyDescent="0.25">
      <c r="B21" s="23" t="str">
        <f>'C4.2'!B11</f>
        <v>C4.2</v>
      </c>
      <c r="C21" s="522" t="str">
        <f>'C4.2'!C11</f>
        <v>CUT MATERIALS</v>
      </c>
      <c r="D21" s="523">
        <f>'C4.2'!E11</f>
        <v>0</v>
      </c>
      <c r="E21" s="524" t="e">
        <f>'C4.2'!#REF!</f>
        <v>#REF!</v>
      </c>
      <c r="F21" s="43"/>
      <c r="G21" s="588">
        <f t="shared" si="0"/>
        <v>0</v>
      </c>
      <c r="H21" s="589"/>
      <c r="K21" s="522">
        <f>'C4.2'!H1</f>
        <v>0</v>
      </c>
      <c r="L21" s="523">
        <f>'C4.2'!I11</f>
        <v>0</v>
      </c>
      <c r="M21" s="524" t="e">
        <f>'C4.2'!#REF!</f>
        <v>#REF!</v>
      </c>
      <c r="N21" s="522">
        <f>'C4.2'!K11</f>
        <v>0</v>
      </c>
      <c r="O21" s="523" t="str">
        <f>'C4.2'!L11</f>
        <v/>
      </c>
      <c r="P21" s="524" t="e">
        <f>'C4.2'!#REF!</f>
        <v>#REF!</v>
      </c>
      <c r="Q21" s="56">
        <f t="shared" si="1"/>
        <v>0</v>
      </c>
    </row>
    <row r="22" spans="2:17" ht="12.75" customHeight="1" x14ac:dyDescent="0.25">
      <c r="B22" s="23" t="str">
        <f>'C4.3'!B11</f>
        <v>C4.3</v>
      </c>
      <c r="C22" s="522" t="str">
        <f>'C4.3'!C11</f>
        <v>EXISTING ROAD MATERIALS</v>
      </c>
      <c r="D22" s="523" t="e">
        <f>'C4.3'!#REF!</f>
        <v>#REF!</v>
      </c>
      <c r="E22" s="524" t="e">
        <f>'C4.3'!#REF!</f>
        <v>#REF!</v>
      </c>
      <c r="F22" s="43"/>
      <c r="G22" s="588">
        <f t="shared" si="0"/>
        <v>0</v>
      </c>
      <c r="H22" s="589"/>
      <c r="K22" s="522">
        <f>'C4.3'!H1</f>
        <v>0</v>
      </c>
      <c r="L22" s="523" t="e">
        <f>'C4.3'!#REF!</f>
        <v>#REF!</v>
      </c>
      <c r="M22" s="524" t="e">
        <f>'C4.3'!#REF!</f>
        <v>#REF!</v>
      </c>
      <c r="N22" s="522">
        <f>'C4.3'!K11</f>
        <v>0</v>
      </c>
      <c r="O22" s="523" t="e">
        <f>'C4.3'!#REF!</f>
        <v>#REF!</v>
      </c>
      <c r="P22" s="524" t="e">
        <f>'C4.3'!#REF!</f>
        <v>#REF!</v>
      </c>
      <c r="Q22" s="56">
        <f t="shared" si="1"/>
        <v>15000</v>
      </c>
    </row>
    <row r="23" spans="2:17" ht="12.75" customHeight="1" x14ac:dyDescent="0.25">
      <c r="B23" s="23" t="str">
        <f>'C4.4'!B11</f>
        <v>C4.4</v>
      </c>
      <c r="C23" s="522" t="str">
        <f>'C4.4'!C11</f>
        <v>COMMERCIAL MATERIALS</v>
      </c>
      <c r="D23" s="523" t="e">
        <f>'C4.4'!#REF!</f>
        <v>#REF!</v>
      </c>
      <c r="E23" s="524" t="e">
        <f>'C4.4'!#REF!</f>
        <v>#REF!</v>
      </c>
      <c r="F23" s="43"/>
      <c r="G23" s="588">
        <f t="shared" si="0"/>
        <v>15000</v>
      </c>
      <c r="H23" s="589"/>
      <c r="K23" s="522">
        <f>'C4.4'!H1</f>
        <v>15000</v>
      </c>
      <c r="L23" s="523" t="e">
        <f>'C4.4'!#REF!</f>
        <v>#REF!</v>
      </c>
      <c r="M23" s="524" t="e">
        <f>'C4.4'!#REF!</f>
        <v>#REF!</v>
      </c>
      <c r="N23" s="522">
        <f>'C4.4'!K11</f>
        <v>0</v>
      </c>
      <c r="O23" s="523" t="e">
        <f>'C4.4'!#REF!</f>
        <v>#REF!</v>
      </c>
      <c r="P23" s="524" t="e">
        <f>'C4.4'!#REF!</f>
        <v>#REF!</v>
      </c>
      <c r="Q23" s="56">
        <f t="shared" si="1"/>
        <v>15000</v>
      </c>
    </row>
    <row r="24" spans="2:17" ht="12.75" customHeight="1" x14ac:dyDescent="0.25">
      <c r="B24" s="23" t="str">
        <f>'C5.1'!B11</f>
        <v>C5.1</v>
      </c>
      <c r="C24" s="522" t="str">
        <f>'C5.1'!C11</f>
        <v>ROADBED</v>
      </c>
      <c r="D24" s="523">
        <f>'C5.1'!E11</f>
        <v>0</v>
      </c>
      <c r="E24" s="524" t="e">
        <f>'C5.1'!#REF!</f>
        <v>#REF!</v>
      </c>
      <c r="F24" s="43"/>
      <c r="G24" s="588">
        <f t="shared" si="0"/>
        <v>0</v>
      </c>
      <c r="H24" s="589"/>
      <c r="K24" s="522">
        <f>'C5.1'!H1</f>
        <v>0</v>
      </c>
      <c r="L24" s="523">
        <f>'C5.1'!I11</f>
        <v>0</v>
      </c>
      <c r="M24" s="524" t="e">
        <f>'C5.1'!#REF!</f>
        <v>#REF!</v>
      </c>
      <c r="N24" s="522">
        <f>'C5.1'!K11</f>
        <v>0</v>
      </c>
      <c r="O24" s="523">
        <f>'C5.1'!L11</f>
        <v>0</v>
      </c>
      <c r="P24" s="524" t="e">
        <f>'C5.1'!#REF!</f>
        <v>#REF!</v>
      </c>
      <c r="Q24" s="56">
        <f t="shared" si="1"/>
        <v>0</v>
      </c>
    </row>
    <row r="25" spans="2:17" ht="12.75" customHeight="1" x14ac:dyDescent="0.25">
      <c r="B25" s="23" t="str">
        <f>'C5.2'!B11</f>
        <v>C5.2</v>
      </c>
      <c r="C25" s="522" t="str">
        <f>'C5.2'!C11</f>
        <v>FILL</v>
      </c>
      <c r="D25" s="523">
        <f>'C5.2'!E11</f>
        <v>0</v>
      </c>
      <c r="E25" s="524" t="e">
        <f>'C5.2'!#REF!</f>
        <v>#REF!</v>
      </c>
      <c r="F25" s="43"/>
      <c r="G25" s="588">
        <f t="shared" si="0"/>
        <v>0</v>
      </c>
      <c r="H25" s="589"/>
      <c r="K25" s="522">
        <f>'C5.2'!H1</f>
        <v>0</v>
      </c>
      <c r="L25" s="523">
        <f>'C5.2'!I11</f>
        <v>0</v>
      </c>
      <c r="M25" s="524" t="e">
        <f>'C5.2'!#REF!</f>
        <v>#REF!</v>
      </c>
      <c r="N25" s="522">
        <f>'C5.2'!K11</f>
        <v>0</v>
      </c>
      <c r="O25" s="523">
        <f>'C5.2'!L11</f>
        <v>0</v>
      </c>
      <c r="P25" s="524" t="e">
        <f>'C5.2'!#REF!</f>
        <v>#REF!</v>
      </c>
      <c r="Q25" s="56">
        <f t="shared" si="1"/>
        <v>0</v>
      </c>
    </row>
    <row r="26" spans="2:17" ht="12.75" customHeight="1" x14ac:dyDescent="0.25">
      <c r="B26" s="23" t="str">
        <f>'C5.3'!B11</f>
        <v>C5.3</v>
      </c>
      <c r="C26" s="522" t="str">
        <f>'C5.3'!C11</f>
        <v>ROAD PAVEMENT LAYERS</v>
      </c>
      <c r="D26" s="523">
        <f>'C5.3'!E11</f>
        <v>0</v>
      </c>
      <c r="E26" s="524" t="e">
        <f>'C5.3'!#REF!</f>
        <v>#REF!</v>
      </c>
      <c r="F26" s="43"/>
      <c r="G26" s="588">
        <f t="shared" si="0"/>
        <v>0</v>
      </c>
      <c r="H26" s="589"/>
      <c r="K26" s="522">
        <f>'C5.3'!H1</f>
        <v>0</v>
      </c>
      <c r="L26" s="523">
        <f>'C5.3'!I11</f>
        <v>0</v>
      </c>
      <c r="M26" s="524" t="e">
        <f>'C5.3'!#REF!</f>
        <v>#REF!</v>
      </c>
      <c r="N26" s="522">
        <f>'C5.3'!K11</f>
        <v>0</v>
      </c>
      <c r="O26" s="523" t="str">
        <f>'C5.3'!L11</f>
        <v/>
      </c>
      <c r="P26" s="524" t="e">
        <f>'C5.3'!#REF!</f>
        <v>#REF!</v>
      </c>
      <c r="Q26" s="56">
        <f t="shared" si="1"/>
        <v>0</v>
      </c>
    </row>
    <row r="27" spans="2:17" ht="12.75" customHeight="1" x14ac:dyDescent="0.25">
      <c r="B27" s="23" t="str">
        <f>'C5.4'!B11</f>
        <v>C5.4</v>
      </c>
      <c r="C27" s="522" t="str">
        <f>'C5.4'!C11</f>
        <v>STABILISATION</v>
      </c>
      <c r="D27" s="523">
        <f>'C5.4'!E11</f>
        <v>0</v>
      </c>
      <c r="E27" s="524" t="e">
        <f>'C5.4'!#REF!</f>
        <v>#REF!</v>
      </c>
      <c r="F27" s="43"/>
      <c r="G27" s="588">
        <f t="shared" si="0"/>
        <v>0</v>
      </c>
      <c r="H27" s="589"/>
      <c r="K27" s="522">
        <f>'C5.4'!H1</f>
        <v>0</v>
      </c>
      <c r="L27" s="523">
        <f>'C5.4'!I11</f>
        <v>0</v>
      </c>
      <c r="M27" s="524" t="e">
        <f>'C5.4'!#REF!</f>
        <v>#REF!</v>
      </c>
      <c r="N27" s="522">
        <f>'C5.4'!K11</f>
        <v>0</v>
      </c>
      <c r="O27" s="523">
        <f>'C5.4'!L11</f>
        <v>0</v>
      </c>
      <c r="P27" s="524" t="e">
        <f>'C5.4'!#REF!</f>
        <v>#REF!</v>
      </c>
      <c r="Q27" s="56">
        <f t="shared" si="1"/>
        <v>0</v>
      </c>
    </row>
    <row r="28" spans="2:17" x14ac:dyDescent="0.25">
      <c r="B28" s="23" t="str">
        <f>'C8.1'!B11</f>
        <v>C8.1</v>
      </c>
      <c r="C28" s="522" t="str">
        <f>'C8.1'!C11</f>
        <v>PRIME COAT</v>
      </c>
      <c r="D28" s="523">
        <f>'C8.1'!E11</f>
        <v>0</v>
      </c>
      <c r="E28" s="524" t="e">
        <f>'C8.1'!#REF!</f>
        <v>#REF!</v>
      </c>
      <c r="F28" s="43"/>
      <c r="G28" s="588">
        <f t="shared" si="0"/>
        <v>0</v>
      </c>
      <c r="H28" s="589"/>
      <c r="K28" s="522">
        <f>'C8.1'!H1</f>
        <v>0</v>
      </c>
      <c r="L28" s="523">
        <f>'C8.1'!I11</f>
        <v>0</v>
      </c>
      <c r="M28" s="524" t="e">
        <f>'C8.1'!#REF!</f>
        <v>#REF!</v>
      </c>
      <c r="N28" s="522">
        <f>'C8.1'!K11</f>
        <v>0</v>
      </c>
      <c r="O28" s="523">
        <f>'C8.1'!L11</f>
        <v>0</v>
      </c>
      <c r="P28" s="524" t="e">
        <f>'C8.1'!#REF!</f>
        <v>#REF!</v>
      </c>
      <c r="Q28" s="56">
        <f t="shared" si="1"/>
        <v>0</v>
      </c>
    </row>
    <row r="29" spans="2:17" x14ac:dyDescent="0.25">
      <c r="B29" s="23" t="str">
        <f>'C10.1'!B11</f>
        <v>C10.1</v>
      </c>
      <c r="C29" s="522" t="str">
        <f>'C10.1'!C11</f>
        <v>GENERAL REQUIREMENTS FOR SURFACE TREATMENTS</v>
      </c>
      <c r="D29" s="523">
        <f>'C10.1'!E12</f>
        <v>0</v>
      </c>
      <c r="E29" s="524" t="e">
        <f>'C10.1'!#REF!</f>
        <v>#REF!</v>
      </c>
      <c r="F29" s="43"/>
      <c r="G29" s="588">
        <f t="shared" si="0"/>
        <v>0</v>
      </c>
      <c r="H29" s="589"/>
      <c r="K29" s="522">
        <f>'C10.1'!H1</f>
        <v>0</v>
      </c>
      <c r="L29" s="523">
        <f>'C10.1'!I12</f>
        <v>0</v>
      </c>
      <c r="M29" s="524" t="e">
        <f>'C10.1'!#REF!</f>
        <v>#REF!</v>
      </c>
      <c r="N29" s="522">
        <f>'C10.1'!K11</f>
        <v>0</v>
      </c>
      <c r="O29" s="523">
        <f>'C10.1'!L12</f>
        <v>0</v>
      </c>
      <c r="P29" s="524" t="e">
        <f>'C10.1'!#REF!</f>
        <v>#REF!</v>
      </c>
      <c r="Q29" s="56">
        <f t="shared" si="1"/>
        <v>195120</v>
      </c>
    </row>
    <row r="30" spans="2:17" x14ac:dyDescent="0.25">
      <c r="B30" s="23" t="str">
        <f>'C11.1'!B11</f>
        <v>C11.1</v>
      </c>
      <c r="C30" s="522" t="str">
        <f>'C11.1'!C11</f>
        <v>PITCHING, STONEWORK, CAST IN SITU CONCRETE FOR PROTECTION AGAINST EROSION</v>
      </c>
      <c r="D30" s="523">
        <f>'C11.1'!E12</f>
        <v>0</v>
      </c>
      <c r="E30" s="524" t="e">
        <f>'C11.1'!#REF!</f>
        <v>#REF!</v>
      </c>
      <c r="F30" s="43"/>
      <c r="G30" s="588">
        <f t="shared" si="0"/>
        <v>195120</v>
      </c>
      <c r="H30" s="589"/>
      <c r="K30" s="522">
        <f>'C11.1'!H1</f>
        <v>195120</v>
      </c>
      <c r="L30" s="523">
        <f>'C11.1'!I12</f>
        <v>0</v>
      </c>
      <c r="M30" s="524" t="e">
        <f>'C11.1'!#REF!</f>
        <v>#REF!</v>
      </c>
      <c r="N30" s="522">
        <f>'C11.1'!K11</f>
        <v>0</v>
      </c>
      <c r="O30" s="523">
        <f>'C11.1'!L12</f>
        <v>0</v>
      </c>
      <c r="P30" s="524" t="e">
        <f>'C11.1'!#REF!</f>
        <v>#REF!</v>
      </c>
      <c r="Q30" s="56">
        <f t="shared" si="1"/>
        <v>4793666</v>
      </c>
    </row>
    <row r="31" spans="2:17" x14ac:dyDescent="0.25">
      <c r="B31" s="23" t="str">
        <f>'C11.2'!B11</f>
        <v>C11.2</v>
      </c>
      <c r="C31" s="522" t="str">
        <f>'C11.2'!C11</f>
        <v>NON-STRUCTURAL GABIONS</v>
      </c>
      <c r="D31" s="523">
        <f>'C11.2'!E14</f>
        <v>0</v>
      </c>
      <c r="E31" s="524" t="e">
        <f>'C11.2'!#REF!</f>
        <v>#REF!</v>
      </c>
      <c r="F31" s="43"/>
      <c r="G31" s="588">
        <f t="shared" si="0"/>
        <v>4598546</v>
      </c>
      <c r="H31" s="589"/>
      <c r="K31" s="522">
        <f>'C11.2'!H1</f>
        <v>4598546</v>
      </c>
      <c r="L31" s="523">
        <f>'C11.2'!I14</f>
        <v>0</v>
      </c>
      <c r="M31" s="524" t="e">
        <f>'C11.2'!#REF!</f>
        <v>#REF!</v>
      </c>
      <c r="N31" s="522">
        <f>'C11.2'!K11</f>
        <v>0</v>
      </c>
      <c r="O31" s="523" t="str">
        <f>'C11.2'!L14</f>
        <v/>
      </c>
      <c r="P31" s="524" t="e">
        <f>'C11.2'!#REF!</f>
        <v>#REF!</v>
      </c>
      <c r="Q31" s="56">
        <f t="shared" si="1"/>
        <v>6016996</v>
      </c>
    </row>
    <row r="32" spans="2:17" x14ac:dyDescent="0.25">
      <c r="B32" s="23" t="str">
        <f>'C11.4'!B11</f>
        <v>C11.4</v>
      </c>
      <c r="C32" s="522" t="str">
        <f>'C11.4'!C11</f>
        <v>ROAD RESTRAINT SYSTEMS</v>
      </c>
      <c r="D32" s="523">
        <f>'C11.4'!E14</f>
        <v>0</v>
      </c>
      <c r="E32" s="524" t="e">
        <f>'C11.4'!#REF!</f>
        <v>#REF!</v>
      </c>
      <c r="F32" s="43"/>
      <c r="G32" s="588">
        <f t="shared" si="0"/>
        <v>1418450</v>
      </c>
      <c r="H32" s="589"/>
      <c r="K32" s="522">
        <f>'C11.4'!H1</f>
        <v>1418450</v>
      </c>
      <c r="L32" s="523">
        <f>'C11.4'!I14</f>
        <v>0</v>
      </c>
      <c r="M32" s="524" t="e">
        <f>'C11.4'!#REF!</f>
        <v>#REF!</v>
      </c>
      <c r="N32" s="522">
        <f>'C11.4'!K11</f>
        <v>0</v>
      </c>
      <c r="O32" s="523" t="str">
        <f>'C11.4'!L14</f>
        <v/>
      </c>
      <c r="P32" s="524" t="e">
        <f>'C11.4'!#REF!</f>
        <v>#REF!</v>
      </c>
      <c r="Q32" s="56">
        <f t="shared" si="1"/>
        <v>2219595</v>
      </c>
    </row>
    <row r="33" spans="2:17" x14ac:dyDescent="0.25">
      <c r="B33" s="23" t="str">
        <f>'C11.5'!B11</f>
        <v>C11.5</v>
      </c>
      <c r="C33" s="522" t="str">
        <f>'C11.5'!C11</f>
        <v>FENCING</v>
      </c>
      <c r="D33" s="523">
        <f>'C11.5'!E14</f>
        <v>0</v>
      </c>
      <c r="E33" s="524" t="e">
        <f>'C11.5'!#REF!</f>
        <v>#REF!</v>
      </c>
      <c r="F33" s="43"/>
      <c r="G33" s="588">
        <f t="shared" si="0"/>
        <v>801145</v>
      </c>
      <c r="H33" s="589"/>
      <c r="K33" s="522">
        <f>'C11.5'!H1</f>
        <v>801145</v>
      </c>
      <c r="L33" s="523">
        <f>'C11.5'!I14</f>
        <v>0</v>
      </c>
      <c r="M33" s="524" t="e">
        <f>'C11.5'!#REF!</f>
        <v>#REF!</v>
      </c>
      <c r="N33" s="522">
        <f>'C11.5'!K11</f>
        <v>0</v>
      </c>
      <c r="O33" s="523" t="str">
        <f>'C11.5'!L14</f>
        <v/>
      </c>
      <c r="P33" s="524" t="e">
        <f>'C11.5'!#REF!</f>
        <v>#REF!</v>
      </c>
      <c r="Q33" s="56">
        <f t="shared" si="1"/>
        <v>801145</v>
      </c>
    </row>
    <row r="34" spans="2:17" x14ac:dyDescent="0.25">
      <c r="B34" s="23" t="str">
        <f>'C11.6'!B11</f>
        <v>C11.6</v>
      </c>
      <c r="C34" s="522" t="str">
        <f>'C11.6'!C11</f>
        <v>ROAD SIGNS</v>
      </c>
      <c r="D34" s="523">
        <f>'C11.6'!E12</f>
        <v>0</v>
      </c>
      <c r="E34" s="524" t="e">
        <f>'C11.6'!#REF!</f>
        <v>#REF!</v>
      </c>
      <c r="F34" s="43"/>
      <c r="G34" s="588">
        <f t="shared" si="0"/>
        <v>0</v>
      </c>
      <c r="H34" s="589"/>
      <c r="K34" s="522">
        <f>'C11.6'!H1</f>
        <v>0</v>
      </c>
      <c r="L34" s="523">
        <f>'C11.6'!I12</f>
        <v>0</v>
      </c>
      <c r="M34" s="524" t="e">
        <f>'C11.6'!#REF!</f>
        <v>#REF!</v>
      </c>
      <c r="N34" s="522">
        <f>'C11.6'!K11</f>
        <v>0</v>
      </c>
      <c r="O34" s="523">
        <f>'C11.6'!L12</f>
        <v>0</v>
      </c>
      <c r="P34" s="524" t="e">
        <f>'C11.6'!#REF!</f>
        <v>#REF!</v>
      </c>
      <c r="Q34" s="56">
        <f t="shared" si="1"/>
        <v>370437</v>
      </c>
    </row>
    <row r="35" spans="2:17" x14ac:dyDescent="0.25">
      <c r="B35" s="23" t="str">
        <f>'C11.7'!B11</f>
        <v>C11.7</v>
      </c>
      <c r="C35" s="522" t="str">
        <f>'C11.7'!C11</f>
        <v>ROAD MARKINGS AND ROAD STUDS</v>
      </c>
      <c r="D35" s="523">
        <f>'C11.7'!E12</f>
        <v>0</v>
      </c>
      <c r="E35" s="524" t="e">
        <f>'C11.7'!#REF!</f>
        <v>#REF!</v>
      </c>
      <c r="F35" s="43"/>
      <c r="G35" s="588">
        <f t="shared" si="0"/>
        <v>370437</v>
      </c>
      <c r="H35" s="589"/>
      <c r="K35" s="522">
        <f>'C11.7'!H1</f>
        <v>370437</v>
      </c>
      <c r="L35" s="523">
        <f>'C11.7'!I12</f>
        <v>0</v>
      </c>
      <c r="M35" s="524" t="e">
        <f>'C11.7'!#REF!</f>
        <v>#REF!</v>
      </c>
      <c r="N35" s="522">
        <f>'C11.7'!K11</f>
        <v>0</v>
      </c>
      <c r="O35" s="523">
        <f>'C11.7'!L12</f>
        <v>0</v>
      </c>
      <c r="P35" s="524" t="e">
        <f>'C11.7'!#REF!</f>
        <v>#REF!</v>
      </c>
      <c r="Q35" s="56">
        <f t="shared" si="1"/>
        <v>1768737</v>
      </c>
    </row>
    <row r="36" spans="2:17" x14ac:dyDescent="0.25">
      <c r="B36" s="23" t="str">
        <f>'C11.8'!B11</f>
        <v>C11.8</v>
      </c>
      <c r="C36" s="522" t="str">
        <f>'C11.8'!C11</f>
        <v>LANDSCAPING AND PLANTING PLANTS</v>
      </c>
      <c r="D36" s="523">
        <f>'C11.8'!E12</f>
        <v>0</v>
      </c>
      <c r="E36" s="524" t="e">
        <f>'C11.8'!#REF!</f>
        <v>#REF!</v>
      </c>
      <c r="F36" s="43"/>
      <c r="G36" s="588">
        <f t="shared" si="0"/>
        <v>1398300</v>
      </c>
      <c r="H36" s="589"/>
      <c r="K36" s="522">
        <f>'C11.8'!H1</f>
        <v>1398300</v>
      </c>
      <c r="L36" s="523">
        <f>'C11.8'!I12</f>
        <v>0</v>
      </c>
      <c r="M36" s="524" t="e">
        <f>'C11.8'!#REF!</f>
        <v>#REF!</v>
      </c>
      <c r="N36" s="522">
        <f>'C11.8'!K11</f>
        <v>0</v>
      </c>
      <c r="O36" s="523">
        <f>'C11.8'!L12</f>
        <v>0</v>
      </c>
      <c r="P36" s="524" t="e">
        <f>'C11.8'!#REF!</f>
        <v>#REF!</v>
      </c>
      <c r="Q36" s="56">
        <f t="shared" si="1"/>
        <v>1482216</v>
      </c>
    </row>
    <row r="37" spans="2:17" ht="13.2" customHeight="1" x14ac:dyDescent="0.25">
      <c r="B37" s="23" t="str">
        <f>'C11.9'!B11</f>
        <v>C11.9</v>
      </c>
      <c r="C37" s="522" t="str">
        <f>'C11.9'!C11</f>
        <v>FINISHING THE ROAD AND ROAD RESERVE AND TREATING OLD ROADS</v>
      </c>
      <c r="D37" s="523">
        <f>'C11.9'!E12</f>
        <v>0</v>
      </c>
      <c r="E37" s="524" t="e">
        <f>'C11.9'!#REF!</f>
        <v>#REF!</v>
      </c>
      <c r="F37" s="43"/>
      <c r="G37" s="588">
        <f t="shared" ref="G37:G55" si="2">K37</f>
        <v>83916</v>
      </c>
      <c r="H37" s="589"/>
      <c r="K37" s="522">
        <f>'C11.9'!H1</f>
        <v>83916</v>
      </c>
      <c r="L37" s="523">
        <f>'C11.9'!I12</f>
        <v>0</v>
      </c>
      <c r="M37" s="524" t="e">
        <f>'C11.9'!#REF!</f>
        <v>#REF!</v>
      </c>
      <c r="N37" s="522">
        <f>'C11.9'!K11</f>
        <v>0</v>
      </c>
      <c r="O37" s="523">
        <f>'C11.9'!L12</f>
        <v>0</v>
      </c>
      <c r="P37" s="524" t="e">
        <f>'C11.9'!#REF!</f>
        <v>#REF!</v>
      </c>
    </row>
    <row r="38" spans="2:17" x14ac:dyDescent="0.25">
      <c r="B38" s="23" t="str">
        <f>'B- STC 4189 13.1'!B12</f>
        <v>1/C13.1</v>
      </c>
      <c r="C38" s="522" t="str">
        <f>'B- STC 4189 13.1'!C12</f>
        <v>FOUNDATIONS</v>
      </c>
      <c r="D38" s="523">
        <f>'B- STC 4189 13.1'!E12</f>
        <v>0</v>
      </c>
      <c r="E38" s="524" t="e">
        <f>'B- STC 4189 13.1'!#REF!</f>
        <v>#REF!</v>
      </c>
      <c r="F38" s="43"/>
      <c r="G38" s="588">
        <f t="shared" si="2"/>
        <v>248876</v>
      </c>
      <c r="H38" s="589"/>
      <c r="K38" s="105">
        <f>'B- STC 4189 13.1'!H1</f>
        <v>248876</v>
      </c>
      <c r="L38" s="57"/>
      <c r="M38" s="57"/>
      <c r="N38" s="57"/>
      <c r="O38" s="57"/>
      <c r="P38" s="57"/>
    </row>
    <row r="39" spans="2:17" ht="13.2" customHeight="1" x14ac:dyDescent="0.25">
      <c r="B39" s="22" t="str">
        <f>'B STC 4189 13.2'!B12</f>
        <v>1/C13.2</v>
      </c>
      <c r="C39" s="522" t="str">
        <f>'B STC 4189 13.2'!C12</f>
        <v>FALSEWORK, FORMWORK AND CONCRETE FINISH</v>
      </c>
      <c r="D39" s="523">
        <f>'B STC 4189 13.2'!E12</f>
        <v>0</v>
      </c>
      <c r="E39" s="524" t="e">
        <f>'B STC 4189 13.2'!#REF!</f>
        <v>#REF!</v>
      </c>
      <c r="F39" s="43"/>
      <c r="G39" s="588">
        <f t="shared" si="2"/>
        <v>333215</v>
      </c>
      <c r="H39" s="589"/>
      <c r="K39" s="23">
        <f>'B STC 4189 13.2'!H1</f>
        <v>333215</v>
      </c>
      <c r="L39" s="57"/>
      <c r="M39" s="57"/>
      <c r="N39" s="57"/>
      <c r="O39" s="57"/>
      <c r="P39" s="57"/>
    </row>
    <row r="40" spans="2:17" x14ac:dyDescent="0.25">
      <c r="B40" s="23" t="str">
        <f>'B STC 4189 13.3'!B12</f>
        <v>1/C13.3</v>
      </c>
      <c r="C40" s="522" t="str">
        <f>'B STC 4189 13.3'!C12</f>
        <v>STEEL REINFORCEMENT</v>
      </c>
      <c r="D40" s="523">
        <f>'B STC 4189 13.3'!E12</f>
        <v>0</v>
      </c>
      <c r="E40" s="524" t="e">
        <f>'B STC 4189 13.3'!#REF!</f>
        <v>#REF!</v>
      </c>
      <c r="F40" s="43"/>
      <c r="G40" s="588">
        <f t="shared" si="2"/>
        <v>1391250</v>
      </c>
      <c r="H40" s="589"/>
      <c r="K40" s="23">
        <f>'B STC 4189 13.3'!H1</f>
        <v>1391250</v>
      </c>
      <c r="L40" s="57"/>
      <c r="M40" s="57"/>
      <c r="N40" s="57"/>
      <c r="O40" s="57"/>
      <c r="P40" s="57"/>
    </row>
    <row r="41" spans="2:17" x14ac:dyDescent="0.25">
      <c r="B41" s="22" t="str">
        <f>'B STC 4189 13.4'!B12</f>
        <v>1/C13.4</v>
      </c>
      <c r="C41" s="522" t="str">
        <f>'B STC 4189 13.4'!C12</f>
        <v>CONCRETE</v>
      </c>
      <c r="D41" s="523">
        <f>'B STC 4189 13.4'!E12</f>
        <v>0</v>
      </c>
      <c r="E41" s="524" t="e">
        <f>'B STC 4189 13.4'!#REF!</f>
        <v>#REF!</v>
      </c>
      <c r="F41" s="43"/>
      <c r="G41" s="588">
        <f t="shared" si="2"/>
        <v>573300</v>
      </c>
      <c r="H41" s="589"/>
      <c r="K41" s="23">
        <f>'B STC 4189 13.4'!H1</f>
        <v>573300</v>
      </c>
      <c r="L41" s="57"/>
      <c r="M41" s="57"/>
      <c r="N41" s="57"/>
      <c r="O41" s="57"/>
      <c r="P41" s="57"/>
    </row>
    <row r="42" spans="2:17" x14ac:dyDescent="0.25">
      <c r="B42" s="22" t="str">
        <f>'B STC 4189 13.7'!B12</f>
        <v>1/C13.7</v>
      </c>
      <c r="C42" s="522" t="str">
        <f>'B STC 4189 13.7'!C12</f>
        <v>JOINTS</v>
      </c>
      <c r="D42" s="523"/>
      <c r="E42" s="524"/>
      <c r="F42" s="43"/>
      <c r="G42" s="588">
        <f t="shared" si="2"/>
        <v>6006</v>
      </c>
      <c r="H42" s="589"/>
      <c r="K42" s="23">
        <f>'B STC 3389 13.7 '!H1</f>
        <v>6006</v>
      </c>
      <c r="L42" s="57"/>
      <c r="M42" s="57"/>
      <c r="N42" s="57"/>
      <c r="O42" s="57"/>
      <c r="P42" s="57"/>
    </row>
    <row r="43" spans="2:17" x14ac:dyDescent="0.25">
      <c r="B43" s="23" t="str">
        <f>'B STC 4189 13.8'!B12</f>
        <v>1/C13.8</v>
      </c>
      <c r="C43" s="522" t="str">
        <f>'B STC 4189 13.8'!C12</f>
        <v>ANCILLARY STRUCTURAL ELEMENTS</v>
      </c>
      <c r="D43" s="523">
        <f>'B STC 4189 13.8'!E12</f>
        <v>0</v>
      </c>
      <c r="E43" s="524" t="e">
        <f>'B STC 4189 13.8'!#REF!</f>
        <v>#REF!</v>
      </c>
      <c r="F43" s="43"/>
      <c r="G43" s="588">
        <f t="shared" si="2"/>
        <v>90448</v>
      </c>
      <c r="H43" s="589"/>
      <c r="K43" s="23">
        <f>'B STC 4189 13.8'!H1</f>
        <v>90448</v>
      </c>
      <c r="L43" s="57"/>
      <c r="M43" s="57"/>
      <c r="N43" s="57"/>
      <c r="O43" s="57"/>
      <c r="P43" s="57"/>
    </row>
    <row r="44" spans="2:17" x14ac:dyDescent="0.25">
      <c r="B44" s="23" t="str">
        <f>'B- STC 3389 13.1 '!B12</f>
        <v>2/C13.1</v>
      </c>
      <c r="C44" s="522" t="str">
        <f>'B- STC 3389 13.1 '!C12</f>
        <v>FOUNDATIONS</v>
      </c>
      <c r="D44" s="523"/>
      <c r="E44" s="524"/>
      <c r="F44" s="43"/>
      <c r="G44" s="588">
        <f t="shared" si="2"/>
        <v>353799</v>
      </c>
      <c r="H44" s="589"/>
      <c r="K44" s="23">
        <f>'B- STC 3389 13.1 '!H1</f>
        <v>353799</v>
      </c>
      <c r="L44" s="57"/>
      <c r="M44" s="57"/>
      <c r="N44" s="57"/>
      <c r="O44" s="57"/>
      <c r="P44" s="57"/>
    </row>
    <row r="45" spans="2:17" ht="25.2" customHeight="1" x14ac:dyDescent="0.25">
      <c r="B45" s="23" t="str">
        <f>'B STC 3389 13.2'!B12</f>
        <v>2/C13.2</v>
      </c>
      <c r="C45" s="522" t="str">
        <f>'B STC 3389 13.2'!C12</f>
        <v>FALSEWORK, FORMWORK AND CONCRETE FINISH</v>
      </c>
      <c r="D45" s="523"/>
      <c r="E45" s="524"/>
      <c r="F45" s="43"/>
      <c r="G45" s="588">
        <f t="shared" si="2"/>
        <v>224764</v>
      </c>
      <c r="H45" s="589"/>
      <c r="K45" s="23">
        <f>'B STC 3389 13.2'!H1</f>
        <v>224764</v>
      </c>
      <c r="L45" s="57"/>
      <c r="M45" s="57"/>
      <c r="N45" s="57"/>
      <c r="O45" s="57"/>
      <c r="P45" s="57"/>
    </row>
    <row r="46" spans="2:17" x14ac:dyDescent="0.25">
      <c r="B46" s="23" t="str">
        <f>'B STC 3389 13.3 '!B12</f>
        <v>2/C13.3</v>
      </c>
      <c r="C46" s="522" t="str">
        <f>'B STC 3389 13.3 '!C12</f>
        <v>STEEL REINFORCEMENT</v>
      </c>
      <c r="D46" s="523"/>
      <c r="E46" s="524"/>
      <c r="F46" s="43"/>
      <c r="G46" s="588">
        <f t="shared" si="2"/>
        <v>603750</v>
      </c>
      <c r="H46" s="589"/>
      <c r="K46" s="23">
        <f>'B STC 3389 13.3 '!H1</f>
        <v>603750</v>
      </c>
      <c r="L46" s="57"/>
      <c r="M46" s="57"/>
      <c r="N46" s="57"/>
      <c r="O46" s="57"/>
      <c r="P46" s="57"/>
    </row>
    <row r="47" spans="2:17" x14ac:dyDescent="0.25">
      <c r="B47" s="23" t="str">
        <f>'B STC 3389 13.4'!B12</f>
        <v>2/C13.4</v>
      </c>
      <c r="C47" s="522" t="str">
        <f>'B STC 3389 13.4'!C12</f>
        <v>CONCRETE</v>
      </c>
      <c r="D47" s="523"/>
      <c r="E47" s="524"/>
      <c r="F47" s="43"/>
      <c r="G47" s="588">
        <f t="shared" si="2"/>
        <v>514500</v>
      </c>
      <c r="H47" s="589"/>
      <c r="K47" s="23">
        <f>'B STC 3389 13.4'!H1</f>
        <v>514500</v>
      </c>
      <c r="L47" s="57"/>
      <c r="M47" s="57"/>
      <c r="N47" s="57"/>
      <c r="O47" s="57"/>
      <c r="P47" s="57"/>
    </row>
    <row r="48" spans="2:17" x14ac:dyDescent="0.25">
      <c r="B48" s="23" t="str">
        <f>'B STC 3389 13.7 '!B12</f>
        <v>2/C13.7</v>
      </c>
      <c r="C48" s="522" t="str">
        <f>'B STC 3389 13.7 '!C12</f>
        <v>JOINTS</v>
      </c>
      <c r="D48" s="523"/>
      <c r="E48" s="524"/>
      <c r="F48" s="43"/>
      <c r="G48" s="588">
        <f t="shared" si="2"/>
        <v>6006</v>
      </c>
      <c r="H48" s="589"/>
      <c r="K48" s="23">
        <f>'B STC 3389 13.7 '!H1</f>
        <v>6006</v>
      </c>
      <c r="L48" s="57"/>
      <c r="M48" s="57"/>
      <c r="N48" s="57"/>
      <c r="O48" s="57"/>
      <c r="P48" s="57"/>
    </row>
    <row r="49" spans="2:16" x14ac:dyDescent="0.25">
      <c r="B49" s="23" t="str">
        <f>'B STC 3389 13.8'!B12</f>
        <v>2/C13.8</v>
      </c>
      <c r="C49" s="522" t="str">
        <f>'B STC 3389 13.8'!C12</f>
        <v>ANCILLARY STRUCTURAL ELEMENTS</v>
      </c>
      <c r="D49" s="523"/>
      <c r="E49" s="524"/>
      <c r="F49" s="43"/>
      <c r="G49" s="588">
        <f t="shared" si="2"/>
        <v>89603</v>
      </c>
      <c r="H49" s="589"/>
      <c r="K49" s="23">
        <f>'B STC 3389 13.8'!H1</f>
        <v>89603</v>
      </c>
      <c r="L49" s="57"/>
      <c r="M49" s="57"/>
      <c r="N49" s="57"/>
      <c r="O49" s="57"/>
      <c r="P49" s="57"/>
    </row>
    <row r="50" spans="2:16" x14ac:dyDescent="0.25">
      <c r="B50" s="23" t="str">
        <f>'B- STC 4191 13.1'!B12</f>
        <v>3/C13.1</v>
      </c>
      <c r="C50" s="522" t="str">
        <f>'B- STC 4191 13.1'!C12</f>
        <v>FOUNDATIONS</v>
      </c>
      <c r="D50" s="523"/>
      <c r="E50" s="524"/>
      <c r="F50" s="43"/>
      <c r="G50" s="588">
        <f t="shared" si="2"/>
        <v>132986</v>
      </c>
      <c r="H50" s="589"/>
      <c r="K50" s="23">
        <f>'B- STC 4191 13.1'!H1</f>
        <v>132986</v>
      </c>
      <c r="L50" s="57"/>
      <c r="M50" s="57"/>
      <c r="N50" s="57"/>
      <c r="O50" s="57"/>
      <c r="P50" s="57"/>
    </row>
    <row r="51" spans="2:16" ht="25.2" customHeight="1" x14ac:dyDescent="0.25">
      <c r="B51" s="23" t="str">
        <f>'B STC 4191 13.2'!B12</f>
        <v>3/C13.2</v>
      </c>
      <c r="C51" s="522" t="str">
        <f>'B STC 4191 13.2'!C12</f>
        <v>FALSEWORK, FORMWORK AND CONCRETE FINISH</v>
      </c>
      <c r="D51" s="523"/>
      <c r="E51" s="524"/>
      <c r="F51" s="43"/>
      <c r="G51" s="588">
        <f t="shared" si="2"/>
        <v>142064</v>
      </c>
      <c r="H51" s="589"/>
      <c r="K51" s="23">
        <f>'B STC 4191 13.2'!H1</f>
        <v>142064</v>
      </c>
    </row>
    <row r="52" spans="2:16" x14ac:dyDescent="0.25">
      <c r="B52" s="23" t="str">
        <f>'B STC 4191 13.3'!B12</f>
        <v>3/C13.3</v>
      </c>
      <c r="C52" s="522" t="str">
        <f>'B STC 4191 13.3'!C12</f>
        <v>STEEL REINFORCEMENT</v>
      </c>
      <c r="D52" s="523"/>
      <c r="E52" s="524"/>
      <c r="F52" s="43"/>
      <c r="G52" s="588">
        <f t="shared" si="2"/>
        <v>236250</v>
      </c>
      <c r="H52" s="589"/>
      <c r="K52" s="23">
        <f>'B STC 4191 13.3'!H1</f>
        <v>236250</v>
      </c>
    </row>
    <row r="53" spans="2:16" x14ac:dyDescent="0.25">
      <c r="B53" s="23" t="str">
        <f>'B STC 4191 13.4'!B12</f>
        <v>3/C13.4</v>
      </c>
      <c r="C53" s="522" t="str">
        <f>'B STC 4191 13.4'!C12</f>
        <v>CONCRETE</v>
      </c>
      <c r="D53" s="523"/>
      <c r="E53" s="524"/>
      <c r="F53" s="43"/>
      <c r="G53" s="588">
        <f t="shared" si="2"/>
        <v>198450</v>
      </c>
      <c r="H53" s="589"/>
      <c r="K53" s="23">
        <f>'B STC 4191 13.4'!H1</f>
        <v>198450</v>
      </c>
    </row>
    <row r="54" spans="2:16" x14ac:dyDescent="0.25">
      <c r="B54" s="23" t="str">
        <f>'B STC 4191 13.7 '!B12</f>
        <v>3/C13.7</v>
      </c>
      <c r="C54" s="522" t="str">
        <f>'B STC 4191 13.7 '!C12</f>
        <v>JOINTS</v>
      </c>
      <c r="D54" s="523"/>
      <c r="E54" s="524"/>
      <c r="F54" s="43"/>
      <c r="G54" s="588">
        <f t="shared" si="2"/>
        <v>4494</v>
      </c>
      <c r="H54" s="589"/>
      <c r="K54" s="23">
        <f>'B STC 4191 13.7 '!H1</f>
        <v>4494</v>
      </c>
    </row>
    <row r="55" spans="2:16" x14ac:dyDescent="0.25">
      <c r="B55" s="23" t="str">
        <f>'B STC 4191 13.8'!B12</f>
        <v>3/C13.8</v>
      </c>
      <c r="C55" s="522" t="str">
        <f>'B STC 4191 13.8'!C12</f>
        <v>ANCILLARY STRUCTURAL ELEMENTS</v>
      </c>
      <c r="D55" s="523"/>
      <c r="E55" s="524"/>
      <c r="F55" s="43"/>
      <c r="G55" s="588">
        <f t="shared" si="2"/>
        <v>78583</v>
      </c>
      <c r="H55" s="589"/>
      <c r="K55" s="23">
        <f>'B STC 4191 13.8'!H1</f>
        <v>78583</v>
      </c>
    </row>
    <row r="56" spans="2:16" x14ac:dyDescent="0.25">
      <c r="B56" s="23"/>
      <c r="C56" s="522"/>
      <c r="D56" s="523"/>
      <c r="E56" s="524"/>
      <c r="F56" s="43"/>
      <c r="G56" s="526"/>
      <c r="H56" s="513"/>
    </row>
    <row r="57" spans="2:16" x14ac:dyDescent="0.25">
      <c r="B57" s="23"/>
      <c r="C57" s="522"/>
      <c r="D57" s="523"/>
      <c r="E57" s="524"/>
      <c r="F57" s="43"/>
      <c r="G57" s="526"/>
      <c r="H57" s="513"/>
    </row>
    <row r="58" spans="2:16" x14ac:dyDescent="0.25">
      <c r="B58" s="23"/>
      <c r="C58" s="522"/>
      <c r="D58" s="523"/>
      <c r="E58" s="524"/>
      <c r="F58" s="43"/>
      <c r="G58" s="526"/>
      <c r="H58" s="513"/>
    </row>
    <row r="59" spans="2:16" x14ac:dyDescent="0.25">
      <c r="B59" s="160"/>
      <c r="C59" s="592"/>
      <c r="D59" s="593"/>
      <c r="E59" s="594"/>
      <c r="F59" s="157"/>
      <c r="G59" s="595"/>
      <c r="H59" s="514"/>
    </row>
    <row r="60" spans="2:16" s="31" customFormat="1" ht="19.5" customHeight="1" x14ac:dyDescent="0.25">
      <c r="B60" s="532" t="s">
        <v>990</v>
      </c>
      <c r="C60" s="533"/>
      <c r="D60" s="533"/>
      <c r="E60" s="533"/>
      <c r="F60" s="533"/>
      <c r="G60" s="590">
        <f>SUM(G9:H59)</f>
        <v>29041954.5</v>
      </c>
      <c r="H60" s="591"/>
      <c r="I60" s="37"/>
    </row>
    <row r="61" spans="2:16" x14ac:dyDescent="0.25">
      <c r="B61" s="2" t="str">
        <f>Client1</f>
        <v>Province of KwaZulu-Natal</v>
      </c>
      <c r="D61" s="4"/>
      <c r="E61" s="4"/>
      <c r="F61" s="510" t="str">
        <f>"Contract No. "&amp;ContractNo</f>
        <v>Contract No. ZNB02215/00000/00/HOD/INF/23/T</v>
      </c>
      <c r="G61" s="510"/>
      <c r="H61" s="510"/>
    </row>
    <row r="62" spans="2:16" s="1" customFormat="1" ht="18" customHeight="1" x14ac:dyDescent="0.25">
      <c r="B62" s="96" t="str">
        <f>Client2</f>
        <v>Department of Transport</v>
      </c>
      <c r="C62" s="57"/>
      <c r="D62" s="4"/>
      <c r="E62" s="4"/>
      <c r="F62" s="4"/>
      <c r="H62" s="5"/>
      <c r="L62" s="4"/>
    </row>
    <row r="63" spans="2:16" s="1" customFormat="1" ht="16.5" customHeight="1" x14ac:dyDescent="0.25">
      <c r="B63" s="84"/>
      <c r="C63" s="99"/>
      <c r="D63" s="85"/>
      <c r="E63" s="85"/>
      <c r="F63" s="85"/>
      <c r="G63" s="86"/>
      <c r="H63" s="98"/>
      <c r="J63" s="5"/>
      <c r="K63" s="5"/>
      <c r="L63" s="4"/>
    </row>
    <row r="64" spans="2:16" s="1" customFormat="1" ht="7.5" customHeight="1" x14ac:dyDescent="0.25">
      <c r="B64" s="500" t="str">
        <f>ContractDescription</f>
        <v>UPGRADING OF MAIN ROAD P8/3 FROM GRAVEL TO BLACKTOP BETWEEN KM 17.560 AND KM 24.221 IN THE PIETERMARITZBURG REGION</v>
      </c>
      <c r="C64" s="501"/>
      <c r="D64" s="501"/>
      <c r="E64" s="501"/>
      <c r="F64" s="501"/>
      <c r="G64" s="501"/>
      <c r="H64" s="539"/>
      <c r="J64" s="5"/>
      <c r="K64" s="5"/>
      <c r="L64" s="4"/>
    </row>
    <row r="65" spans="2:15" ht="12.75" customHeight="1" x14ac:dyDescent="0.25">
      <c r="B65" s="500"/>
      <c r="C65" s="501"/>
      <c r="D65" s="501"/>
      <c r="E65" s="501"/>
      <c r="F65" s="501"/>
      <c r="G65" s="501"/>
      <c r="H65" s="539"/>
    </row>
    <row r="66" spans="2:15" ht="7.5" customHeight="1" x14ac:dyDescent="0.25">
      <c r="B66" s="502"/>
      <c r="C66" s="503"/>
      <c r="D66" s="503"/>
      <c r="E66" s="503"/>
      <c r="F66" s="503"/>
      <c r="G66" s="503"/>
      <c r="H66" s="540"/>
    </row>
    <row r="67" spans="2:15" ht="25.5" customHeight="1" x14ac:dyDescent="0.25">
      <c r="B67" s="576" t="s">
        <v>969</v>
      </c>
      <c r="C67" s="577"/>
      <c r="D67" s="577"/>
      <c r="E67" s="577"/>
      <c r="F67" s="577"/>
      <c r="G67" s="577"/>
      <c r="H67" s="578"/>
    </row>
    <row r="68" spans="2:15" x14ac:dyDescent="0.25">
      <c r="B68" s="12" t="s">
        <v>970</v>
      </c>
      <c r="C68" s="579" t="s">
        <v>1</v>
      </c>
      <c r="D68" s="580"/>
      <c r="E68" s="581"/>
      <c r="F68" s="12" t="s">
        <v>951</v>
      </c>
      <c r="G68" s="580" t="s">
        <v>5</v>
      </c>
      <c r="H68" s="581"/>
      <c r="O68" s="145"/>
    </row>
    <row r="69" spans="2:15" s="31" customFormat="1" ht="19.5" customHeight="1" x14ac:dyDescent="0.25">
      <c r="B69" s="532" t="s">
        <v>991</v>
      </c>
      <c r="C69" s="533"/>
      <c r="D69" s="533"/>
      <c r="E69" s="533"/>
      <c r="F69" s="533"/>
      <c r="G69" s="590">
        <f>SUM(G10:H60)</f>
        <v>57383909</v>
      </c>
      <c r="H69" s="591"/>
      <c r="I69" s="37"/>
    </row>
    <row r="70" spans="2:15" x14ac:dyDescent="0.25">
      <c r="B70" s="56"/>
      <c r="C70" s="56"/>
      <c r="D70" s="56"/>
      <c r="E70" s="56"/>
      <c r="F70" s="170"/>
      <c r="G70" s="526"/>
      <c r="H70" s="513"/>
      <c r="L70" s="236">
        <f>'B- STC 4189 13.1'!I12</f>
        <v>0</v>
      </c>
      <c r="M70" s="236">
        <f>'B- STC 4189 13.1'!J12</f>
        <v>0</v>
      </c>
      <c r="N70" s="236">
        <f>'B- STC 4189 13.1'!K12</f>
        <v>0</v>
      </c>
    </row>
    <row r="71" spans="2:15" x14ac:dyDescent="0.25">
      <c r="B71" s="56"/>
      <c r="C71" s="56"/>
      <c r="D71" s="56"/>
      <c r="E71" s="56"/>
      <c r="F71" s="43"/>
      <c r="G71" s="526"/>
      <c r="H71" s="513"/>
      <c r="L71" s="23">
        <f>'B STC 4189 13.2'!I12</f>
        <v>0</v>
      </c>
      <c r="M71" s="23">
        <f>'B STC 4189 13.2'!J12</f>
        <v>0</v>
      </c>
      <c r="N71" s="23">
        <f>'B STC 4189 13.2'!K12</f>
        <v>0</v>
      </c>
    </row>
    <row r="72" spans="2:15" x14ac:dyDescent="0.25">
      <c r="B72" s="56"/>
      <c r="C72" s="56"/>
      <c r="D72" s="56"/>
      <c r="E72" s="56"/>
      <c r="F72" s="43"/>
      <c r="G72" s="526"/>
      <c r="H72" s="513"/>
      <c r="L72" s="23">
        <f>'B STC 4189 13.3'!I12</f>
        <v>0</v>
      </c>
      <c r="M72" s="23">
        <f>'B STC 4189 13.3'!J12</f>
        <v>0</v>
      </c>
      <c r="N72" s="23">
        <f>'B STC 4189 13.3'!K12</f>
        <v>0</v>
      </c>
    </row>
    <row r="73" spans="2:15" x14ac:dyDescent="0.25">
      <c r="B73" s="56"/>
      <c r="C73" s="56"/>
      <c r="D73" s="56"/>
      <c r="E73" s="56"/>
      <c r="F73" s="43"/>
      <c r="G73" s="526"/>
      <c r="H73" s="513"/>
      <c r="L73" s="23">
        <f>'B STC 4189 13.4'!I12</f>
        <v>0</v>
      </c>
      <c r="M73" s="23">
        <f>'B STC 4189 13.4'!J12</f>
        <v>0</v>
      </c>
      <c r="N73" s="23">
        <f>'B STC 4189 13.4'!K12</f>
        <v>0</v>
      </c>
    </row>
    <row r="74" spans="2:15" x14ac:dyDescent="0.25">
      <c r="B74" s="56"/>
      <c r="C74" s="56"/>
      <c r="D74" s="56"/>
      <c r="E74" s="56"/>
      <c r="F74" s="43"/>
      <c r="G74" s="13"/>
      <c r="H74" s="161"/>
      <c r="L74" s="22">
        <f>'B STC 3389 13.7 '!I12</f>
        <v>0</v>
      </c>
      <c r="M74" s="22">
        <f>'B STC 3389 13.7 '!J12</f>
        <v>0</v>
      </c>
      <c r="N74" s="22">
        <f>'B STC 3389 13.7 '!K12</f>
        <v>0</v>
      </c>
    </row>
    <row r="75" spans="2:15" x14ac:dyDescent="0.25">
      <c r="B75" s="56"/>
      <c r="C75" s="56"/>
      <c r="D75" s="56"/>
      <c r="E75" s="56"/>
      <c r="F75" s="43"/>
      <c r="G75" s="526"/>
      <c r="H75" s="513"/>
      <c r="L75" s="23">
        <f>'B STC 4189 13.8'!I12</f>
        <v>0</v>
      </c>
      <c r="M75" s="23">
        <f>'B STC 4189 13.8'!J12</f>
        <v>0</v>
      </c>
      <c r="N75" s="23">
        <f>'B STC 4189 13.8'!K12</f>
        <v>0</v>
      </c>
    </row>
    <row r="76" spans="2:15" ht="12.75" customHeight="1" x14ac:dyDescent="0.25">
      <c r="B76" s="56"/>
      <c r="C76" s="56"/>
      <c r="D76" s="56"/>
      <c r="E76" s="56"/>
      <c r="F76" s="43"/>
      <c r="G76" s="526"/>
      <c r="H76" s="513"/>
      <c r="L76" s="22">
        <f>'B- STC 3389 13.1 '!I12</f>
        <v>0</v>
      </c>
      <c r="M76" s="22">
        <f>'B- STC 3389 13.1 '!J12</f>
        <v>0</v>
      </c>
      <c r="N76" s="22">
        <f>'B- STC 3389 13.1 '!K12</f>
        <v>0</v>
      </c>
    </row>
    <row r="77" spans="2:15" ht="37.5" customHeight="1" x14ac:dyDescent="0.25">
      <c r="B77" s="56"/>
      <c r="C77" s="56"/>
      <c r="D77" s="56"/>
      <c r="E77" s="56"/>
      <c r="F77" s="43"/>
      <c r="G77" s="526"/>
      <c r="H77" s="513"/>
      <c r="L77" s="23">
        <f>'B STC 3389 13.2'!I12</f>
        <v>0</v>
      </c>
      <c r="M77" s="23">
        <f>'B STC 3389 13.2'!J12</f>
        <v>0</v>
      </c>
      <c r="N77" s="23">
        <f>'B STC 3389 13.2'!K12</f>
        <v>0</v>
      </c>
    </row>
    <row r="78" spans="2:15" x14ac:dyDescent="0.25">
      <c r="B78" s="56"/>
      <c r="C78" s="56"/>
      <c r="D78" s="56"/>
      <c r="E78" s="56"/>
      <c r="F78" s="43"/>
      <c r="G78" s="526"/>
      <c r="H78" s="513"/>
      <c r="L78" s="22">
        <f>'B STC 3389 13.3 '!I12</f>
        <v>0</v>
      </c>
      <c r="M78" s="22">
        <f>'B STC 3389 13.3 '!J12</f>
        <v>0</v>
      </c>
      <c r="N78" s="22">
        <f>'B STC 3389 13.3 '!K12</f>
        <v>0</v>
      </c>
    </row>
    <row r="79" spans="2:15" x14ac:dyDescent="0.25">
      <c r="B79" s="56"/>
      <c r="C79" s="56"/>
      <c r="D79" s="56"/>
      <c r="E79" s="56"/>
      <c r="F79" s="43"/>
      <c r="G79" s="526"/>
      <c r="H79" s="513"/>
      <c r="L79" s="22">
        <f>'B STC 3389 13.4'!I12</f>
        <v>0</v>
      </c>
      <c r="M79" s="22">
        <f>'B STC 3389 13.4'!J12</f>
        <v>0</v>
      </c>
      <c r="N79" s="22">
        <f>'B STC 3389 13.4'!K12</f>
        <v>0</v>
      </c>
    </row>
    <row r="80" spans="2:15" x14ac:dyDescent="0.25">
      <c r="B80" s="56"/>
      <c r="C80" s="56"/>
      <c r="D80" s="56"/>
      <c r="E80" s="56"/>
      <c r="F80" s="43"/>
      <c r="G80" s="526"/>
      <c r="H80" s="513"/>
      <c r="L80" s="22">
        <f>'B STC 3389 13.7 '!I12</f>
        <v>0</v>
      </c>
      <c r="M80" s="22">
        <f>'B STC 3389 13.7 '!J12</f>
        <v>0</v>
      </c>
      <c r="N80" s="22">
        <f>'B STC 3389 13.7 '!K12</f>
        <v>0</v>
      </c>
    </row>
    <row r="81" spans="2:14" x14ac:dyDescent="0.25">
      <c r="B81" s="56"/>
      <c r="C81" s="56"/>
      <c r="D81" s="56"/>
      <c r="E81" s="56"/>
      <c r="F81" s="43"/>
      <c r="G81" s="526"/>
      <c r="H81" s="513"/>
      <c r="L81" s="22">
        <f>'B STC 3389 13.8'!I12</f>
        <v>0</v>
      </c>
      <c r="M81" s="22">
        <f>'B STC 3389 13.8'!J12</f>
        <v>0</v>
      </c>
      <c r="N81" s="22">
        <f>'B STC 3389 13.8'!K12</f>
        <v>0</v>
      </c>
    </row>
    <row r="82" spans="2:14" x14ac:dyDescent="0.25">
      <c r="B82" s="56"/>
      <c r="C82" s="56"/>
      <c r="D82" s="56"/>
      <c r="E82" s="56"/>
      <c r="F82" s="43"/>
      <c r="G82" s="526"/>
      <c r="H82" s="513"/>
      <c r="L82" s="22">
        <f>'B- STC 4191 13.1'!I12</f>
        <v>0</v>
      </c>
      <c r="M82" s="22">
        <f>'B- STC 4191 13.1'!J12</f>
        <v>0</v>
      </c>
      <c r="N82" s="22">
        <f>'B- STC 4191 13.1'!K12</f>
        <v>0</v>
      </c>
    </row>
    <row r="83" spans="2:14" ht="37.5" customHeight="1" x14ac:dyDescent="0.25">
      <c r="B83" s="56"/>
      <c r="C83" s="56"/>
      <c r="D83" s="56"/>
      <c r="E83" s="56"/>
      <c r="F83" s="43"/>
      <c r="G83" s="526"/>
      <c r="H83" s="513"/>
      <c r="L83" s="22">
        <f>'B STC 4191 13.2'!I12</f>
        <v>0</v>
      </c>
      <c r="M83" s="22">
        <f>'B STC 4191 13.2'!J12</f>
        <v>0</v>
      </c>
      <c r="N83" s="22">
        <f>'B STC 4191 13.2'!K12</f>
        <v>0</v>
      </c>
    </row>
    <row r="84" spans="2:14" x14ac:dyDescent="0.25">
      <c r="B84" s="56"/>
      <c r="C84" s="56"/>
      <c r="D84" s="56"/>
      <c r="E84" s="56"/>
      <c r="F84" s="43"/>
      <c r="G84" s="526"/>
      <c r="H84" s="513"/>
      <c r="L84" s="22">
        <f>'B STC 4191 13.3'!I12</f>
        <v>0</v>
      </c>
      <c r="M84" s="22">
        <f>'B STC 4191 13.3'!J12</f>
        <v>0</v>
      </c>
      <c r="N84" s="22">
        <f>'B STC 4191 13.3'!K12</f>
        <v>0</v>
      </c>
    </row>
    <row r="85" spans="2:14" x14ac:dyDescent="0.25">
      <c r="B85" s="56"/>
      <c r="C85" s="56"/>
      <c r="D85" s="56"/>
      <c r="E85" s="56"/>
      <c r="F85" s="43"/>
      <c r="G85" s="526"/>
      <c r="H85" s="513"/>
      <c r="L85" s="22">
        <f>'B STC 4191 13.4'!I12</f>
        <v>0</v>
      </c>
      <c r="M85" s="22">
        <f>'B STC 4191 13.4'!J12</f>
        <v>0</v>
      </c>
      <c r="N85" s="22">
        <f>'B STC 4191 13.4'!K12</f>
        <v>0</v>
      </c>
    </row>
    <row r="86" spans="2:14" x14ac:dyDescent="0.25">
      <c r="B86" s="56"/>
      <c r="C86" s="56"/>
      <c r="D86" s="56"/>
      <c r="E86" s="56"/>
      <c r="F86" s="43"/>
      <c r="G86" s="526"/>
      <c r="H86" s="513"/>
      <c r="L86" s="22">
        <f>'B STC 4191 13.7 '!I12</f>
        <v>0</v>
      </c>
      <c r="M86" s="22">
        <f>'B STC 4191 13.7 '!J12</f>
        <v>0</v>
      </c>
      <c r="N86" s="22">
        <f>'B STC 4191 13.7 '!K12</f>
        <v>0</v>
      </c>
    </row>
    <row r="87" spans="2:14" x14ac:dyDescent="0.25">
      <c r="B87" s="56"/>
      <c r="C87" s="56"/>
      <c r="D87" s="56"/>
      <c r="E87" s="56"/>
      <c r="F87" s="43"/>
      <c r="G87" s="526"/>
      <c r="H87" s="513"/>
      <c r="L87" s="22">
        <f>'B STC 4191 13.8'!I12</f>
        <v>0</v>
      </c>
      <c r="M87" s="22">
        <f>'B STC 4191 13.8'!J12</f>
        <v>0</v>
      </c>
      <c r="N87" s="22">
        <f>'B STC 4191 13.8'!K12</f>
        <v>0</v>
      </c>
    </row>
    <row r="88" spans="2:14" x14ac:dyDescent="0.25">
      <c r="B88" s="23"/>
      <c r="C88" s="522"/>
      <c r="D88" s="523"/>
      <c r="E88" s="524"/>
      <c r="F88" s="43"/>
      <c r="G88" s="526"/>
      <c r="H88" s="513"/>
    </row>
    <row r="89" spans="2:14" x14ac:dyDescent="0.25">
      <c r="B89" s="22"/>
      <c r="C89" s="522"/>
      <c r="D89" s="523"/>
      <c r="E89" s="524"/>
      <c r="F89" s="43"/>
      <c r="G89" s="526"/>
      <c r="H89" s="513"/>
    </row>
    <row r="90" spans="2:14" x14ac:dyDescent="0.25">
      <c r="B90" s="22"/>
      <c r="C90" s="522"/>
      <c r="D90" s="523"/>
      <c r="E90" s="524"/>
      <c r="F90" s="43"/>
      <c r="G90" s="526"/>
      <c r="H90" s="513"/>
    </row>
    <row r="91" spans="2:14" x14ac:dyDescent="0.25">
      <c r="B91" s="22"/>
      <c r="C91" s="522"/>
      <c r="D91" s="523"/>
      <c r="E91" s="524"/>
      <c r="F91" s="43"/>
      <c r="G91" s="526"/>
      <c r="H91" s="513"/>
    </row>
    <row r="92" spans="2:14" x14ac:dyDescent="0.25">
      <c r="B92" s="22"/>
      <c r="C92" s="522"/>
      <c r="D92" s="523"/>
      <c r="E92" s="524"/>
      <c r="F92" s="43"/>
      <c r="G92" s="526"/>
      <c r="H92" s="513"/>
    </row>
    <row r="93" spans="2:14" ht="26.4" x14ac:dyDescent="0.25">
      <c r="B93" s="22" t="str">
        <f>'C20.1'!B11</f>
        <v>C20.1</v>
      </c>
      <c r="C93" s="162" t="str">
        <f>'C20.1'!C11</f>
        <v>TESTING MATERIALS AND JUDGEMENT OF WORKMANSHIP</v>
      </c>
      <c r="E93" s="147"/>
      <c r="F93" s="43"/>
      <c r="G93" s="526"/>
      <c r="H93" s="513"/>
    </row>
    <row r="94" spans="2:14" x14ac:dyDescent="0.25">
      <c r="B94" s="22"/>
      <c r="C94" s="162"/>
      <c r="E94" s="147"/>
      <c r="F94" s="43"/>
      <c r="G94" s="526"/>
      <c r="H94" s="513"/>
    </row>
    <row r="95" spans="2:14" x14ac:dyDescent="0.25">
      <c r="B95" s="22"/>
      <c r="C95" s="162"/>
      <c r="E95" s="147"/>
      <c r="F95" s="43"/>
      <c r="G95" s="526"/>
      <c r="H95" s="513"/>
    </row>
    <row r="96" spans="2:14" x14ac:dyDescent="0.25">
      <c r="B96" s="22"/>
      <c r="C96" s="162"/>
      <c r="E96" s="147"/>
      <c r="F96" s="43"/>
      <c r="G96" s="526"/>
      <c r="H96" s="513"/>
    </row>
    <row r="97" spans="2:8" x14ac:dyDescent="0.25">
      <c r="B97" s="22"/>
      <c r="C97" s="162"/>
      <c r="E97" s="147"/>
      <c r="F97" s="43"/>
      <c r="G97" s="526"/>
      <c r="H97" s="513"/>
    </row>
    <row r="98" spans="2:8" x14ac:dyDescent="0.25">
      <c r="B98" s="22"/>
      <c r="C98" s="162"/>
      <c r="E98" s="147"/>
      <c r="F98" s="43"/>
      <c r="G98" s="526"/>
      <c r="H98" s="513"/>
    </row>
    <row r="99" spans="2:8" x14ac:dyDescent="0.25">
      <c r="B99" s="22"/>
      <c r="C99" s="162"/>
      <c r="E99" s="147"/>
      <c r="F99" s="43"/>
      <c r="G99" s="526"/>
      <c r="H99" s="513"/>
    </row>
    <row r="100" spans="2:8" x14ac:dyDescent="0.25">
      <c r="B100" s="22"/>
      <c r="C100" s="162"/>
      <c r="E100" s="147"/>
      <c r="F100" s="43"/>
      <c r="G100" s="526"/>
      <c r="H100" s="513"/>
    </row>
    <row r="101" spans="2:8" x14ac:dyDescent="0.25">
      <c r="B101" s="22"/>
      <c r="C101" s="162"/>
      <c r="E101" s="147"/>
      <c r="F101" s="43"/>
      <c r="G101" s="526"/>
      <c r="H101" s="513"/>
    </row>
    <row r="102" spans="2:8" x14ac:dyDescent="0.25">
      <c r="B102" s="22"/>
      <c r="C102" s="162"/>
      <c r="E102" s="147"/>
      <c r="F102" s="43"/>
      <c r="G102" s="526"/>
      <c r="H102" s="513"/>
    </row>
    <row r="103" spans="2:8" x14ac:dyDescent="0.25">
      <c r="B103" s="22"/>
      <c r="C103" s="162"/>
      <c r="E103" s="147"/>
      <c r="F103" s="43"/>
      <c r="G103" s="526"/>
      <c r="H103" s="513"/>
    </row>
    <row r="104" spans="2:8" x14ac:dyDescent="0.25">
      <c r="B104" s="22"/>
      <c r="C104" s="162"/>
      <c r="E104" s="147"/>
      <c r="F104" s="43"/>
      <c r="G104" s="526"/>
      <c r="H104" s="513"/>
    </row>
    <row r="105" spans="2:8" x14ac:dyDescent="0.25">
      <c r="B105" s="22"/>
      <c r="C105" s="162"/>
      <c r="E105" s="147"/>
      <c r="F105" s="43"/>
      <c r="G105" s="526"/>
      <c r="H105" s="513"/>
    </row>
    <row r="106" spans="2:8" x14ac:dyDescent="0.25">
      <c r="B106" s="22"/>
      <c r="C106" s="162"/>
      <c r="E106" s="147"/>
      <c r="F106" s="43"/>
      <c r="G106" s="526"/>
      <c r="H106" s="513"/>
    </row>
    <row r="107" spans="2:8" x14ac:dyDescent="0.25">
      <c r="B107" s="22"/>
      <c r="C107" s="162"/>
      <c r="E107" s="147"/>
      <c r="F107" s="43"/>
      <c r="G107" s="526"/>
      <c r="H107" s="513"/>
    </row>
    <row r="108" spans="2:8" x14ac:dyDescent="0.25">
      <c r="B108" s="22"/>
      <c r="C108" s="162"/>
      <c r="E108" s="147"/>
      <c r="F108" s="43"/>
      <c r="G108" s="526"/>
      <c r="H108" s="513"/>
    </row>
    <row r="109" spans="2:8" x14ac:dyDescent="0.25">
      <c r="B109" s="22"/>
      <c r="C109" s="162"/>
      <c r="E109" s="147"/>
      <c r="F109" s="43"/>
      <c r="G109" s="526"/>
      <c r="H109" s="513"/>
    </row>
    <row r="110" spans="2:8" x14ac:dyDescent="0.25">
      <c r="B110" s="22"/>
      <c r="C110" s="162"/>
      <c r="E110" s="147"/>
      <c r="F110" s="43"/>
      <c r="G110" s="526"/>
      <c r="H110" s="513"/>
    </row>
    <row r="111" spans="2:8" x14ac:dyDescent="0.25">
      <c r="B111" s="22"/>
      <c r="C111" s="162"/>
      <c r="E111" s="147"/>
      <c r="F111" s="43"/>
      <c r="G111" s="526"/>
      <c r="H111" s="513"/>
    </row>
    <row r="112" spans="2:8" x14ac:dyDescent="0.25">
      <c r="B112" s="22"/>
      <c r="C112" s="162"/>
      <c r="E112" s="147"/>
      <c r="F112" s="43"/>
      <c r="G112" s="526"/>
      <c r="H112" s="513"/>
    </row>
    <row r="113" spans="2:8" x14ac:dyDescent="0.25">
      <c r="B113" s="22"/>
      <c r="C113" s="162"/>
      <c r="E113" s="147"/>
      <c r="F113" s="43"/>
      <c r="G113" s="526"/>
      <c r="H113" s="513"/>
    </row>
    <row r="114" spans="2:8" x14ac:dyDescent="0.25">
      <c r="B114" s="22"/>
      <c r="C114" s="162"/>
      <c r="E114" s="147"/>
      <c r="F114" s="43"/>
      <c r="G114" s="526"/>
      <c r="H114" s="513"/>
    </row>
    <row r="115" spans="2:8" x14ac:dyDescent="0.25">
      <c r="B115" s="22"/>
      <c r="C115" s="162"/>
      <c r="E115" s="147"/>
      <c r="F115" s="43"/>
      <c r="G115" s="526"/>
      <c r="H115" s="513"/>
    </row>
    <row r="116" spans="2:8" x14ac:dyDescent="0.25">
      <c r="B116" s="22"/>
      <c r="C116" s="162"/>
      <c r="E116" s="147"/>
      <c r="F116" s="43"/>
      <c r="G116" s="526"/>
      <c r="H116" s="513"/>
    </row>
    <row r="117" spans="2:8" x14ac:dyDescent="0.25">
      <c r="B117" s="22"/>
      <c r="C117" s="162"/>
      <c r="E117" s="147"/>
      <c r="F117" s="43"/>
      <c r="G117" s="526"/>
      <c r="H117" s="513"/>
    </row>
    <row r="118" spans="2:8" x14ac:dyDescent="0.25">
      <c r="B118" s="22"/>
      <c r="C118" s="162"/>
      <c r="E118" s="147"/>
      <c r="F118" s="43"/>
      <c r="G118" s="526"/>
      <c r="H118" s="513"/>
    </row>
    <row r="119" spans="2:8" x14ac:dyDescent="0.25">
      <c r="B119" s="22"/>
      <c r="C119" s="162"/>
      <c r="E119" s="147"/>
      <c r="F119" s="43"/>
      <c r="G119" s="526"/>
      <c r="H119" s="513"/>
    </row>
    <row r="120" spans="2:8" x14ac:dyDescent="0.25">
      <c r="B120" s="22"/>
      <c r="C120" s="162"/>
      <c r="E120" s="147"/>
      <c r="F120" s="43"/>
      <c r="G120" s="526"/>
      <c r="H120" s="513"/>
    </row>
    <row r="121" spans="2:8" x14ac:dyDescent="0.25">
      <c r="B121" s="22"/>
      <c r="C121" s="162"/>
      <c r="E121" s="147"/>
      <c r="F121" s="43"/>
      <c r="G121" s="526"/>
      <c r="H121" s="513"/>
    </row>
    <row r="122" spans="2:8" x14ac:dyDescent="0.25">
      <c r="B122" s="22"/>
      <c r="C122" s="162"/>
      <c r="E122" s="147"/>
      <c r="F122" s="43"/>
      <c r="G122" s="526"/>
      <c r="H122" s="513"/>
    </row>
    <row r="123" spans="2:8" x14ac:dyDescent="0.25">
      <c r="B123" s="22"/>
      <c r="C123" s="162"/>
      <c r="E123" s="147"/>
      <c r="F123" s="43"/>
      <c r="G123" s="526"/>
      <c r="H123" s="513"/>
    </row>
    <row r="124" spans="2:8" x14ac:dyDescent="0.25">
      <c r="B124" s="22"/>
      <c r="C124" s="162"/>
      <c r="E124" s="147"/>
      <c r="F124" s="43"/>
      <c r="G124" s="526"/>
      <c r="H124" s="513"/>
    </row>
    <row r="125" spans="2:8" x14ac:dyDescent="0.25">
      <c r="B125" s="22"/>
      <c r="C125" s="162"/>
      <c r="E125" s="147"/>
      <c r="F125" s="43"/>
      <c r="G125" s="526"/>
      <c r="H125" s="513"/>
    </row>
    <row r="126" spans="2:8" x14ac:dyDescent="0.25">
      <c r="B126" s="22"/>
      <c r="C126" s="162"/>
      <c r="E126" s="147"/>
      <c r="F126" s="43"/>
      <c r="G126" s="526"/>
      <c r="H126" s="513"/>
    </row>
    <row r="127" spans="2:8" x14ac:dyDescent="0.25">
      <c r="B127" s="22"/>
      <c r="C127" s="162"/>
      <c r="E127" s="147"/>
      <c r="F127" s="43"/>
      <c r="G127" s="526"/>
      <c r="H127" s="513"/>
    </row>
    <row r="128" spans="2:8" x14ac:dyDescent="0.25">
      <c r="B128" s="22"/>
      <c r="C128" s="162"/>
      <c r="E128" s="147"/>
      <c r="F128" s="43"/>
      <c r="G128" s="526"/>
      <c r="H128" s="513"/>
    </row>
    <row r="129" spans="2:9" s="31" customFormat="1" ht="19.5" customHeight="1" x14ac:dyDescent="0.25">
      <c r="B129" s="532" t="s">
        <v>1007</v>
      </c>
      <c r="C129" s="533"/>
      <c r="D129" s="533"/>
      <c r="E129" s="533"/>
      <c r="F129" s="533"/>
      <c r="G129" s="612">
        <f>SUM(H75:H128)</f>
        <v>0</v>
      </c>
      <c r="H129" s="591"/>
      <c r="I129" s="37"/>
    </row>
  </sheetData>
  <mergeCells count="242">
    <mergeCell ref="K30:M30"/>
    <mergeCell ref="K31:M31"/>
    <mergeCell ref="K32:M32"/>
    <mergeCell ref="K33:M33"/>
    <mergeCell ref="K34:M34"/>
    <mergeCell ref="K35:M35"/>
    <mergeCell ref="K36:M36"/>
    <mergeCell ref="K37:M37"/>
    <mergeCell ref="K26:M26"/>
    <mergeCell ref="N35:P35"/>
    <mergeCell ref="N36:P36"/>
    <mergeCell ref="N37:P37"/>
    <mergeCell ref="N26:P26"/>
    <mergeCell ref="N27:P27"/>
    <mergeCell ref="N28:P28"/>
    <mergeCell ref="N29:P29"/>
    <mergeCell ref="N30:P30"/>
    <mergeCell ref="N31:P31"/>
    <mergeCell ref="N32:P32"/>
    <mergeCell ref="N33:P33"/>
    <mergeCell ref="N34:P34"/>
    <mergeCell ref="N11:P11"/>
    <mergeCell ref="N12:P12"/>
    <mergeCell ref="N13:P13"/>
    <mergeCell ref="N14:P14"/>
    <mergeCell ref="N15:P15"/>
    <mergeCell ref="N16:P16"/>
    <mergeCell ref="N17:P17"/>
    <mergeCell ref="N18:P18"/>
    <mergeCell ref="G48:H48"/>
    <mergeCell ref="N19:P19"/>
    <mergeCell ref="N20:P20"/>
    <mergeCell ref="N21:P21"/>
    <mergeCell ref="N22:P22"/>
    <mergeCell ref="N23:P23"/>
    <mergeCell ref="N24:P24"/>
    <mergeCell ref="N25:P25"/>
    <mergeCell ref="K19:M19"/>
    <mergeCell ref="K20:M20"/>
    <mergeCell ref="K21:M21"/>
    <mergeCell ref="K22:M22"/>
    <mergeCell ref="K23:M23"/>
    <mergeCell ref="K24:M24"/>
    <mergeCell ref="K25:M25"/>
    <mergeCell ref="G37:H37"/>
    <mergeCell ref="K10:M10"/>
    <mergeCell ref="K11:M11"/>
    <mergeCell ref="K12:M12"/>
    <mergeCell ref="K13:M13"/>
    <mergeCell ref="K14:M14"/>
    <mergeCell ref="K15:M15"/>
    <mergeCell ref="K16:M16"/>
    <mergeCell ref="K17:M17"/>
    <mergeCell ref="K18:M18"/>
    <mergeCell ref="N10:P10"/>
    <mergeCell ref="K27:M27"/>
    <mergeCell ref="K28:M28"/>
    <mergeCell ref="K29:M29"/>
    <mergeCell ref="K8:M8"/>
    <mergeCell ref="N9:P9"/>
    <mergeCell ref="K9:M9"/>
    <mergeCell ref="B129:F129"/>
    <mergeCell ref="G120:H120"/>
    <mergeCell ref="G121:H121"/>
    <mergeCell ref="G122:H122"/>
    <mergeCell ref="G123:H123"/>
    <mergeCell ref="G124:H124"/>
    <mergeCell ref="G125:H125"/>
    <mergeCell ref="G126:H126"/>
    <mergeCell ref="G127:H127"/>
    <mergeCell ref="G112:H112"/>
    <mergeCell ref="G113:H113"/>
    <mergeCell ref="G114:H114"/>
    <mergeCell ref="G115:H115"/>
    <mergeCell ref="G116:H116"/>
    <mergeCell ref="G117:H117"/>
    <mergeCell ref="G118:H118"/>
    <mergeCell ref="G119:H119"/>
    <mergeCell ref="G128:H128"/>
    <mergeCell ref="G89:H89"/>
    <mergeCell ref="G129:H129"/>
    <mergeCell ref="G94:H94"/>
    <mergeCell ref="G95:H95"/>
    <mergeCell ref="G96:H96"/>
    <mergeCell ref="G97:H97"/>
    <mergeCell ref="G98:H98"/>
    <mergeCell ref="G99:H99"/>
    <mergeCell ref="G100:H100"/>
    <mergeCell ref="G101:H101"/>
    <mergeCell ref="G102:H102"/>
    <mergeCell ref="G103:H103"/>
    <mergeCell ref="G104:H104"/>
    <mergeCell ref="G105:H105"/>
    <mergeCell ref="G106:H106"/>
    <mergeCell ref="G107:H107"/>
    <mergeCell ref="G108:H108"/>
    <mergeCell ref="G109:H109"/>
    <mergeCell ref="G110:H110"/>
    <mergeCell ref="G90:H90"/>
    <mergeCell ref="G111:H111"/>
    <mergeCell ref="G91:H91"/>
    <mergeCell ref="G92:H92"/>
    <mergeCell ref="G93:H93"/>
    <mergeCell ref="G80:H80"/>
    <mergeCell ref="G81:H81"/>
    <mergeCell ref="G82:H82"/>
    <mergeCell ref="G83:H83"/>
    <mergeCell ref="G84:H84"/>
    <mergeCell ref="G85:H85"/>
    <mergeCell ref="G86:H86"/>
    <mergeCell ref="G87:H87"/>
    <mergeCell ref="G88:H88"/>
    <mergeCell ref="G73:H73"/>
    <mergeCell ref="G75:H75"/>
    <mergeCell ref="G76:H76"/>
    <mergeCell ref="G77:H77"/>
    <mergeCell ref="G78:H78"/>
    <mergeCell ref="G79:H79"/>
    <mergeCell ref="G70:H70"/>
    <mergeCell ref="G71:H71"/>
    <mergeCell ref="G72:H72"/>
    <mergeCell ref="G51:H51"/>
    <mergeCell ref="C43:E43"/>
    <mergeCell ref="C38:E38"/>
    <mergeCell ref="G55:H55"/>
    <mergeCell ref="G56:H56"/>
    <mergeCell ref="G57:H57"/>
    <mergeCell ref="G52:H52"/>
    <mergeCell ref="G53:H53"/>
    <mergeCell ref="G54:H54"/>
    <mergeCell ref="C49:E49"/>
    <mergeCell ref="C50:E50"/>
    <mergeCell ref="G38:H38"/>
    <mergeCell ref="G39:H39"/>
    <mergeCell ref="G40:H40"/>
    <mergeCell ref="G41:H41"/>
    <mergeCell ref="G42:H42"/>
    <mergeCell ref="G43:H43"/>
    <mergeCell ref="G44:H44"/>
    <mergeCell ref="G45:H45"/>
    <mergeCell ref="G46:H46"/>
    <mergeCell ref="G47:H47"/>
    <mergeCell ref="G49:H49"/>
    <mergeCell ref="G50:H50"/>
    <mergeCell ref="G27:H27"/>
    <mergeCell ref="G29:H29"/>
    <mergeCell ref="G30:H30"/>
    <mergeCell ref="G31:H31"/>
    <mergeCell ref="G32:H32"/>
    <mergeCell ref="G33:H33"/>
    <mergeCell ref="G34:H34"/>
    <mergeCell ref="G35:H35"/>
    <mergeCell ref="G36:H36"/>
    <mergeCell ref="G28:H28"/>
    <mergeCell ref="G69:H69"/>
    <mergeCell ref="F61:H61"/>
    <mergeCell ref="B64:G66"/>
    <mergeCell ref="H64:H66"/>
    <mergeCell ref="B67:H67"/>
    <mergeCell ref="C68:E68"/>
    <mergeCell ref="G68:H68"/>
    <mergeCell ref="C55:E55"/>
    <mergeCell ref="C56:E56"/>
    <mergeCell ref="C57:E57"/>
    <mergeCell ref="C58:E58"/>
    <mergeCell ref="C59:E59"/>
    <mergeCell ref="G58:H58"/>
    <mergeCell ref="G60:H60"/>
    <mergeCell ref="G59:H59"/>
    <mergeCell ref="G18:H18"/>
    <mergeCell ref="C13:E13"/>
    <mergeCell ref="C14:E14"/>
    <mergeCell ref="G19:H19"/>
    <mergeCell ref="G20:H20"/>
    <mergeCell ref="G21:H21"/>
    <mergeCell ref="C15:E15"/>
    <mergeCell ref="C16:E16"/>
    <mergeCell ref="C17:E17"/>
    <mergeCell ref="C18:E18"/>
    <mergeCell ref="C19:E19"/>
    <mergeCell ref="C20:E20"/>
    <mergeCell ref="G13:H13"/>
    <mergeCell ref="G14:H14"/>
    <mergeCell ref="G15:H15"/>
    <mergeCell ref="G16:H16"/>
    <mergeCell ref="G17:H17"/>
    <mergeCell ref="C21:E21"/>
    <mergeCell ref="F1:H1"/>
    <mergeCell ref="B7:H7"/>
    <mergeCell ref="G8:H8"/>
    <mergeCell ref="G9:H9"/>
    <mergeCell ref="G10:H10"/>
    <mergeCell ref="H4:H6"/>
    <mergeCell ref="B4:G6"/>
    <mergeCell ref="G11:H11"/>
    <mergeCell ref="G12:H12"/>
    <mergeCell ref="C8:E8"/>
    <mergeCell ref="C9:E9"/>
    <mergeCell ref="C10:E10"/>
    <mergeCell ref="C11:E11"/>
    <mergeCell ref="C12:E12"/>
    <mergeCell ref="G25:H25"/>
    <mergeCell ref="G26:H26"/>
    <mergeCell ref="G22:H22"/>
    <mergeCell ref="G23:H23"/>
    <mergeCell ref="C51:E51"/>
    <mergeCell ref="C32:E32"/>
    <mergeCell ref="C33:E33"/>
    <mergeCell ref="C34:E34"/>
    <mergeCell ref="C35:E35"/>
    <mergeCell ref="C36:E36"/>
    <mergeCell ref="C29:E29"/>
    <mergeCell ref="C30:E30"/>
    <mergeCell ref="C31:E31"/>
    <mergeCell ref="C44:E44"/>
    <mergeCell ref="C45:E45"/>
    <mergeCell ref="C46:E46"/>
    <mergeCell ref="C47:E47"/>
    <mergeCell ref="C48:E48"/>
    <mergeCell ref="G24:H24"/>
    <mergeCell ref="C37:E37"/>
    <mergeCell ref="C28:E28"/>
    <mergeCell ref="C26:E26"/>
    <mergeCell ref="C27:E27"/>
    <mergeCell ref="C39:E39"/>
    <mergeCell ref="C88:E88"/>
    <mergeCell ref="C89:E89"/>
    <mergeCell ref="C90:E90"/>
    <mergeCell ref="C91:E91"/>
    <mergeCell ref="C92:E92"/>
    <mergeCell ref="C22:E22"/>
    <mergeCell ref="C23:E23"/>
    <mergeCell ref="C24:E24"/>
    <mergeCell ref="C25:E25"/>
    <mergeCell ref="C40:E40"/>
    <mergeCell ref="C41:E41"/>
    <mergeCell ref="B60:F60"/>
    <mergeCell ref="C42:E42"/>
    <mergeCell ref="C52:E52"/>
    <mergeCell ref="C53:E53"/>
    <mergeCell ref="B69:F69"/>
    <mergeCell ref="C54:E54"/>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rowBreaks count="1" manualBreakCount="1">
    <brk id="60"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16A6B-1B62-463D-85E9-AC4D75CFB3CB}">
  <sheetPr>
    <tabColor rgb="FF92D050"/>
  </sheetPr>
  <dimension ref="B1:N31"/>
  <sheetViews>
    <sheetView view="pageBreakPreview" topLeftCell="A3" zoomScaleNormal="85" zoomScaleSheetLayoutView="100" workbookViewId="0">
      <selection activeCell="L25" sqref="L25"/>
    </sheetView>
  </sheetViews>
  <sheetFormatPr defaultColWidth="6.6640625" defaultRowHeight="13.2" x14ac:dyDescent="0.25"/>
  <cols>
    <col min="1" max="1" width="0.6640625" style="1" customWidth="1"/>
    <col min="2" max="2" width="11.5546875" style="83" customWidth="1"/>
    <col min="3" max="3" width="45.5546875" style="3" customWidth="1"/>
    <col min="4" max="4" width="4" style="3" customWidth="1"/>
    <col min="5" max="5" width="13.5546875" style="4" customWidth="1"/>
    <col min="6" max="6" width="15.5546875" style="4" customWidth="1"/>
    <col min="7" max="7" width="15.5546875" style="1" customWidth="1"/>
    <col min="8" max="8" width="15.5546875" style="5" customWidth="1"/>
    <col min="9" max="9" width="0.6640625" style="5" customWidth="1"/>
    <col min="10" max="10" width="6.6640625" style="1"/>
    <col min="11" max="14" width="15.5546875" style="1" customWidth="1"/>
    <col min="15" max="16384" width="6.6640625" style="1"/>
  </cols>
  <sheetData>
    <row r="1" spans="2:14" x14ac:dyDescent="0.25">
      <c r="H1" s="234">
        <f>MAX(H9:H410)</f>
        <v>296100</v>
      </c>
    </row>
    <row r="2" spans="2:14" x14ac:dyDescent="0.25">
      <c r="B2" s="498" t="str">
        <f>Client1</f>
        <v>Province of KwaZulu-Natal</v>
      </c>
      <c r="C2" s="498"/>
      <c r="D2" s="498"/>
      <c r="E2" s="498"/>
      <c r="F2" s="496" t="str">
        <f>"Contract No. "&amp;ContractNo</f>
        <v>Contract No. ZNB02215/00000/00/HOD/INF/23/T</v>
      </c>
      <c r="G2" s="496"/>
      <c r="H2" s="496"/>
      <c r="K2" s="402"/>
      <c r="L2" s="402">
        <f>MAX(L3:L155)</f>
        <v>0</v>
      </c>
      <c r="M2" s="402"/>
      <c r="N2" s="403"/>
    </row>
    <row r="3" spans="2:14" x14ac:dyDescent="0.25">
      <c r="B3" s="498" t="str">
        <f>Client2</f>
        <v>Department of Transport</v>
      </c>
      <c r="C3" s="498"/>
      <c r="D3" s="498"/>
      <c r="E3" s="498"/>
      <c r="F3" s="496"/>
      <c r="G3" s="496"/>
      <c r="H3" s="496"/>
      <c r="K3" s="404" t="s">
        <v>1421</v>
      </c>
      <c r="L3" s="404" t="s">
        <v>1422</v>
      </c>
      <c r="M3" s="404" t="s">
        <v>1423</v>
      </c>
      <c r="N3" s="404" t="s">
        <v>1424</v>
      </c>
    </row>
    <row r="4" spans="2:14" x14ac:dyDescent="0.25">
      <c r="B4" s="499"/>
      <c r="C4" s="499"/>
      <c r="D4" s="499"/>
      <c r="E4" s="499"/>
      <c r="F4" s="497"/>
      <c r="G4" s="497"/>
      <c r="H4" s="497"/>
    </row>
    <row r="5" spans="2:14" x14ac:dyDescent="0.25">
      <c r="B5" s="507" t="s">
        <v>8</v>
      </c>
      <c r="C5" s="508"/>
      <c r="D5" s="508"/>
      <c r="E5" s="508"/>
      <c r="F5" s="508"/>
      <c r="G5" s="508"/>
      <c r="H5" s="504" t="str">
        <f>"CHAPTER "&amp;B11</f>
        <v>CHAPTER C1.2 CPG</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05"/>
      <c r="I6" s="9"/>
    </row>
    <row r="7" spans="2:14" ht="12.75" customHeight="1" x14ac:dyDescent="0.25">
      <c r="B7" s="500"/>
      <c r="C7" s="501"/>
      <c r="D7" s="501"/>
      <c r="E7" s="501"/>
      <c r="F7" s="501"/>
      <c r="G7" s="501"/>
      <c r="H7" s="505"/>
      <c r="I7" s="9"/>
    </row>
    <row r="8" spans="2:14" ht="7.5" customHeight="1" x14ac:dyDescent="0.25">
      <c r="B8" s="502"/>
      <c r="C8" s="503"/>
      <c r="D8" s="503"/>
      <c r="E8" s="503"/>
      <c r="F8" s="503"/>
      <c r="G8" s="503"/>
      <c r="H8" s="506"/>
      <c r="I8" s="9"/>
    </row>
    <row r="9" spans="2:14" s="10" customFormat="1" ht="25.2" customHeight="1" x14ac:dyDescent="0.25">
      <c r="B9" s="81" t="s">
        <v>0</v>
      </c>
      <c r="C9" s="12" t="s">
        <v>1</v>
      </c>
      <c r="D9" s="12" t="s">
        <v>1602</v>
      </c>
      <c r="E9" s="12" t="s">
        <v>2</v>
      </c>
      <c r="F9" s="12" t="s">
        <v>3</v>
      </c>
      <c r="G9" s="12" t="s">
        <v>4</v>
      </c>
      <c r="H9" s="12" t="s">
        <v>5</v>
      </c>
      <c r="I9" s="13"/>
      <c r="K9" s="12"/>
      <c r="L9" s="12"/>
      <c r="M9" s="12"/>
      <c r="N9" s="12"/>
    </row>
    <row r="10" spans="2:14" x14ac:dyDescent="0.25">
      <c r="B10" s="53"/>
      <c r="C10" s="15"/>
      <c r="D10" s="15"/>
      <c r="E10" s="16"/>
      <c r="F10" s="16"/>
      <c r="G10" s="17"/>
      <c r="H10" s="26" t="str">
        <f t="shared" ref="H10:H21" si="0">IF(E10="","",F10*G10)</f>
        <v/>
      </c>
      <c r="I10" s="19"/>
      <c r="K10" s="17"/>
      <c r="L10" s="17"/>
      <c r="M10" s="17"/>
      <c r="N10" s="17"/>
    </row>
    <row r="11" spans="2:14" x14ac:dyDescent="0.25">
      <c r="B11" s="80" t="s">
        <v>1530</v>
      </c>
      <c r="C11" s="21" t="s">
        <v>13</v>
      </c>
      <c r="D11" s="21"/>
      <c r="E11" s="23"/>
      <c r="F11" s="23"/>
      <c r="G11" s="43"/>
      <c r="H11" s="26" t="str">
        <f t="shared" si="0"/>
        <v/>
      </c>
      <c r="I11" s="44"/>
      <c r="K11" s="43"/>
      <c r="L11" s="43"/>
      <c r="M11" s="43"/>
      <c r="N11" s="43"/>
    </row>
    <row r="12" spans="2:14" x14ac:dyDescent="0.25">
      <c r="B12" s="53"/>
      <c r="C12" s="15"/>
      <c r="D12" s="15"/>
      <c r="E12" s="23"/>
      <c r="F12" s="23"/>
      <c r="G12" s="43"/>
      <c r="H12" s="26" t="str">
        <f t="shared" si="0"/>
        <v/>
      </c>
      <c r="I12" s="44"/>
      <c r="K12" s="43"/>
      <c r="L12" s="43"/>
      <c r="M12" s="43"/>
      <c r="N12" s="43"/>
    </row>
    <row r="13" spans="2:14" x14ac:dyDescent="0.25">
      <c r="B13" s="53"/>
      <c r="C13" s="15"/>
      <c r="D13" s="15"/>
      <c r="E13" s="23"/>
      <c r="F13" s="24"/>
      <c r="G13" s="41"/>
      <c r="H13" s="26" t="str">
        <f t="shared" si="0"/>
        <v/>
      </c>
      <c r="I13" s="44"/>
      <c r="K13" s="41"/>
      <c r="L13" s="41"/>
      <c r="M13" s="41"/>
      <c r="N13" s="41"/>
    </row>
    <row r="14" spans="2:14" x14ac:dyDescent="0.25">
      <c r="B14" s="53" t="s">
        <v>14</v>
      </c>
      <c r="C14" s="15" t="s">
        <v>15</v>
      </c>
      <c r="D14" s="15"/>
      <c r="E14" s="23"/>
      <c r="F14" s="24"/>
      <c r="G14" s="46"/>
      <c r="H14" s="26" t="str">
        <f t="shared" si="0"/>
        <v/>
      </c>
      <c r="I14" s="44"/>
      <c r="K14" s="46"/>
      <c r="L14" s="46"/>
      <c r="M14" s="46"/>
      <c r="N14" s="46"/>
    </row>
    <row r="15" spans="2:14" x14ac:dyDescent="0.25">
      <c r="B15" s="53"/>
      <c r="C15" s="28"/>
      <c r="D15" s="146"/>
      <c r="E15" s="40"/>
      <c r="F15" s="200"/>
      <c r="G15" s="48"/>
      <c r="H15" s="196" t="str">
        <f t="shared" si="0"/>
        <v/>
      </c>
      <c r="K15" s="48" t="s">
        <v>1532</v>
      </c>
      <c r="L15" s="48"/>
      <c r="M15" s="48"/>
      <c r="N15" s="48"/>
    </row>
    <row r="16" spans="2:14" x14ac:dyDescent="0.25">
      <c r="B16" s="53" t="s">
        <v>1535</v>
      </c>
      <c r="C16" s="29" t="s">
        <v>1536</v>
      </c>
      <c r="D16" s="147"/>
      <c r="E16" s="23" t="s">
        <v>11</v>
      </c>
      <c r="F16" s="200">
        <v>1</v>
      </c>
      <c r="G16" s="48">
        <v>25200</v>
      </c>
      <c r="H16" s="196">
        <f t="shared" si="0"/>
        <v>25200</v>
      </c>
      <c r="K16" s="48" t="s">
        <v>1531</v>
      </c>
      <c r="L16" s="48"/>
      <c r="M16" s="48"/>
      <c r="N16" s="48"/>
    </row>
    <row r="17" spans="2:14" x14ac:dyDescent="0.25">
      <c r="B17" s="53"/>
      <c r="C17" s="28"/>
      <c r="D17" s="146"/>
      <c r="E17" s="40"/>
      <c r="F17" s="200"/>
      <c r="G17" s="48" t="s">
        <v>1556</v>
      </c>
      <c r="H17" s="196" t="str">
        <f t="shared" si="0"/>
        <v/>
      </c>
      <c r="K17" s="48"/>
      <c r="L17" s="48"/>
      <c r="M17" s="48"/>
      <c r="N17" s="48"/>
    </row>
    <row r="18" spans="2:14" x14ac:dyDescent="0.25">
      <c r="B18" s="53" t="s">
        <v>1537</v>
      </c>
      <c r="C18" s="15" t="s">
        <v>1538</v>
      </c>
      <c r="D18" s="15"/>
      <c r="E18" s="23" t="s">
        <v>21</v>
      </c>
      <c r="F18" s="200">
        <f>_Duration</f>
        <v>18</v>
      </c>
      <c r="G18" s="51">
        <v>5250</v>
      </c>
      <c r="H18" s="196">
        <f t="shared" si="0"/>
        <v>94500</v>
      </c>
      <c r="I18" s="201"/>
      <c r="K18" s="51"/>
      <c r="L18" s="51"/>
      <c r="M18" s="51"/>
      <c r="N18" s="51"/>
    </row>
    <row r="19" spans="2:14" x14ac:dyDescent="0.25">
      <c r="B19" s="53"/>
      <c r="C19" s="15"/>
      <c r="D19" s="15"/>
      <c r="E19" s="23"/>
      <c r="F19" s="200"/>
      <c r="G19" s="51" t="s">
        <v>1556</v>
      </c>
      <c r="H19" s="196" t="str">
        <f t="shared" si="0"/>
        <v/>
      </c>
      <c r="I19" s="197"/>
      <c r="K19" s="51"/>
      <c r="L19" s="51"/>
      <c r="M19" s="51"/>
      <c r="N19" s="51"/>
    </row>
    <row r="20" spans="2:14" ht="26.4" x14ac:dyDescent="0.25">
      <c r="B20" s="53" t="s">
        <v>27</v>
      </c>
      <c r="C20" s="15" t="s">
        <v>31</v>
      </c>
      <c r="D20" s="15"/>
      <c r="E20" s="23" t="s">
        <v>21</v>
      </c>
      <c r="F20" s="200">
        <v>18</v>
      </c>
      <c r="G20" s="51">
        <v>1050</v>
      </c>
      <c r="H20" s="196">
        <f t="shared" si="0"/>
        <v>18900</v>
      </c>
      <c r="I20" s="197"/>
      <c r="K20" s="51"/>
      <c r="L20" s="51"/>
      <c r="M20" s="51"/>
      <c r="N20" s="51"/>
    </row>
    <row r="21" spans="2:14" x14ac:dyDescent="0.25">
      <c r="B21" s="53"/>
      <c r="C21" s="15"/>
      <c r="D21" s="15"/>
      <c r="E21" s="16"/>
      <c r="F21" s="27"/>
      <c r="G21" s="30" t="s">
        <v>1556</v>
      </c>
      <c r="H21" s="26" t="str">
        <f t="shared" si="0"/>
        <v/>
      </c>
      <c r="I21" s="19"/>
      <c r="K21" s="30"/>
      <c r="L21" s="30"/>
      <c r="M21" s="30"/>
      <c r="N21" s="30"/>
    </row>
    <row r="22" spans="2:14" x14ac:dyDescent="0.25">
      <c r="B22" s="80" t="s">
        <v>38</v>
      </c>
      <c r="C22" s="21" t="s">
        <v>39</v>
      </c>
      <c r="D22" s="21"/>
      <c r="E22" s="23"/>
      <c r="F22" s="23"/>
      <c r="G22" s="41" t="s">
        <v>1556</v>
      </c>
      <c r="H22" s="26" t="str">
        <f>IF(E22="","",F22*G22)</f>
        <v/>
      </c>
      <c r="I22" s="44"/>
      <c r="K22" s="41"/>
      <c r="L22" s="41"/>
      <c r="M22" s="41"/>
      <c r="N22" s="41"/>
    </row>
    <row r="23" spans="2:14" x14ac:dyDescent="0.25">
      <c r="B23" s="53"/>
      <c r="C23" s="15"/>
      <c r="D23" s="15"/>
      <c r="E23" s="23"/>
      <c r="F23" s="23"/>
      <c r="G23" s="41" t="s">
        <v>1556</v>
      </c>
      <c r="H23" s="26" t="str">
        <f>IF(E23="","",F23*G23)</f>
        <v/>
      </c>
      <c r="I23" s="44"/>
      <c r="K23" s="41"/>
      <c r="L23" s="41"/>
      <c r="M23" s="41"/>
      <c r="N23" s="41"/>
    </row>
    <row r="24" spans="2:14" x14ac:dyDescent="0.25">
      <c r="B24" s="53" t="s">
        <v>40</v>
      </c>
      <c r="C24" s="15" t="s">
        <v>41</v>
      </c>
      <c r="D24" s="15"/>
      <c r="E24" s="23" t="s">
        <v>11</v>
      </c>
      <c r="F24" s="23">
        <v>1</v>
      </c>
      <c r="G24" s="41">
        <v>63000</v>
      </c>
      <c r="H24" s="26">
        <f>IF(E24="","",F24*G24)</f>
        <v>63000</v>
      </c>
      <c r="I24" s="44"/>
      <c r="K24" s="41" t="s">
        <v>1533</v>
      </c>
      <c r="L24" s="41"/>
      <c r="M24" s="41"/>
      <c r="N24" s="41"/>
    </row>
    <row r="25" spans="2:14" x14ac:dyDescent="0.25">
      <c r="B25" s="53"/>
      <c r="C25" s="15"/>
      <c r="D25" s="15"/>
      <c r="E25" s="23"/>
      <c r="F25" s="23"/>
      <c r="G25" s="41" t="s">
        <v>1556</v>
      </c>
      <c r="H25" s="26" t="str">
        <f>IF(E25="","",F25*G25)</f>
        <v/>
      </c>
      <c r="I25" s="44"/>
      <c r="K25" s="41"/>
      <c r="L25" s="41"/>
      <c r="M25" s="41"/>
      <c r="N25" s="41"/>
    </row>
    <row r="26" spans="2:14" x14ac:dyDescent="0.25">
      <c r="B26" s="53" t="s">
        <v>42</v>
      </c>
      <c r="C26" s="15" t="s">
        <v>43</v>
      </c>
      <c r="D26" s="15"/>
      <c r="E26" s="23" t="s">
        <v>21</v>
      </c>
      <c r="F26" s="23">
        <v>18</v>
      </c>
      <c r="G26" s="41">
        <v>5250</v>
      </c>
      <c r="H26" s="26">
        <f>IF(E26="","",F26*G26)</f>
        <v>94500</v>
      </c>
      <c r="I26" s="44"/>
      <c r="K26" s="41"/>
      <c r="L26" s="41"/>
      <c r="M26" s="41"/>
      <c r="N26" s="41"/>
    </row>
    <row r="27" spans="2:14" x14ac:dyDescent="0.25">
      <c r="B27" s="53"/>
      <c r="C27" s="15"/>
      <c r="D27" s="15"/>
      <c r="E27" s="23"/>
      <c r="F27" s="23"/>
      <c r="G27" s="41"/>
      <c r="H27" s="26"/>
      <c r="I27" s="44"/>
      <c r="K27" s="41"/>
      <c r="L27" s="41"/>
      <c r="M27" s="41"/>
      <c r="N27" s="41"/>
    </row>
    <row r="28" spans="2:14" x14ac:dyDescent="0.25">
      <c r="B28" s="53"/>
      <c r="C28" s="15"/>
      <c r="D28" s="15"/>
      <c r="E28" s="23"/>
      <c r="F28" s="23"/>
      <c r="G28" s="41"/>
      <c r="H28" s="26"/>
      <c r="I28" s="197"/>
      <c r="K28" s="51"/>
      <c r="L28" s="51"/>
      <c r="M28" s="51"/>
      <c r="N28" s="51"/>
    </row>
    <row r="29" spans="2:14" x14ac:dyDescent="0.25">
      <c r="B29" s="53"/>
      <c r="C29" s="29"/>
      <c r="D29" s="147"/>
      <c r="E29" s="40"/>
      <c r="F29" s="40"/>
      <c r="G29" s="41"/>
      <c r="H29" s="26"/>
      <c r="I29" s="44"/>
      <c r="K29" s="41"/>
      <c r="L29" s="41"/>
      <c r="M29" s="41"/>
      <c r="N29" s="41"/>
    </row>
    <row r="30" spans="2:14" x14ac:dyDescent="0.25">
      <c r="B30" s="53"/>
      <c r="C30" s="15"/>
      <c r="D30" s="15"/>
      <c r="E30" s="23"/>
      <c r="F30" s="23"/>
      <c r="G30" s="41"/>
      <c r="H30" s="26" t="str">
        <f>IF(E30="","",F30*G30)</f>
        <v/>
      </c>
      <c r="I30" s="44"/>
      <c r="K30" s="41"/>
      <c r="L30" s="41"/>
      <c r="M30" s="41"/>
      <c r="N30" s="41"/>
    </row>
    <row r="31" spans="2:14" s="31" customFormat="1" ht="20.100000000000001" customHeight="1" x14ac:dyDescent="0.25">
      <c r="B31" s="87" t="str">
        <f>B11</f>
        <v>C1.2 CPG</v>
      </c>
      <c r="C31" s="474" t="s">
        <v>957</v>
      </c>
      <c r="D31" s="488"/>
      <c r="E31" s="34"/>
      <c r="F31" s="35"/>
      <c r="G31" s="34"/>
      <c r="H31" s="36">
        <f>SUM(H10:H30)</f>
        <v>296100</v>
      </c>
      <c r="I31" s="37"/>
      <c r="K31" s="34"/>
      <c r="L31" s="34"/>
      <c r="M31" s="34"/>
      <c r="N31" s="34"/>
    </row>
  </sheetData>
  <mergeCells count="7">
    <mergeCell ref="B2:E2"/>
    <mergeCell ref="F2:H4"/>
    <mergeCell ref="B3:E3"/>
    <mergeCell ref="B4:E4"/>
    <mergeCell ref="B5:G5"/>
    <mergeCell ref="H5:H8"/>
    <mergeCell ref="B6:G8"/>
  </mergeCells>
  <pageMargins left="0.62992125984251968" right="0.43307086614173229" top="0.62992125984251968" bottom="0.55118110236220474" header="0.51181102362204722" footer="0.31496062992125984"/>
  <pageSetup paperSize="9" scale="76" firstPageNumber="29" fitToHeight="0"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F6081-B463-4BBB-9FEF-AA270AB19F71}">
  <sheetPr>
    <tabColor rgb="FF92D050"/>
  </sheetPr>
  <dimension ref="B1:N70"/>
  <sheetViews>
    <sheetView view="pageBreakPreview" topLeftCell="A13" zoomScaleNormal="125" zoomScaleSheetLayoutView="100" zoomScalePageLayoutView="125" workbookViewId="0">
      <selection activeCell="L25" sqref="L25"/>
    </sheetView>
  </sheetViews>
  <sheetFormatPr defaultColWidth="6.6640625" defaultRowHeight="13.2" x14ac:dyDescent="0.25"/>
  <cols>
    <col min="1" max="1" width="0.6640625" style="1" customWidth="1"/>
    <col min="2" max="2" width="11.5546875" style="38" customWidth="1"/>
    <col min="3" max="3" width="45.5546875" style="3" customWidth="1"/>
    <col min="4" max="4" width="4.3320312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0" width="6.6640625" style="1"/>
    <col min="11" max="14" width="15.5546875" style="1" customWidth="1"/>
    <col min="15" max="16384" width="6.6640625" style="1"/>
  </cols>
  <sheetData>
    <row r="1" spans="2:14" x14ac:dyDescent="0.25">
      <c r="H1" s="234">
        <f>MAX(H9:H497)</f>
        <v>2205000</v>
      </c>
    </row>
    <row r="2" spans="2:14" x14ac:dyDescent="0.25">
      <c r="B2" s="2" t="str">
        <f>Client1</f>
        <v>Province of KwaZulu-Natal</v>
      </c>
      <c r="F2" s="510" t="str">
        <f>"Contract No. "&amp;ContractNo</f>
        <v>Contract No. ZNB02215/00000/00/HOD/INF/23/T</v>
      </c>
      <c r="G2" s="510"/>
      <c r="H2" s="510"/>
      <c r="K2" s="402"/>
      <c r="L2" s="402">
        <f>MAX(L3:L242)</f>
        <v>0</v>
      </c>
      <c r="M2" s="402"/>
      <c r="N2" s="403"/>
    </row>
    <row r="3" spans="2:14" x14ac:dyDescent="0.25">
      <c r="B3" s="96" t="str">
        <f>Client2</f>
        <v>Department of Transport</v>
      </c>
      <c r="K3" s="1" t="s">
        <v>1421</v>
      </c>
      <c r="L3" s="1" t="s">
        <v>1422</v>
      </c>
      <c r="M3" s="1" t="s">
        <v>1423</v>
      </c>
      <c r="N3" s="1" t="s">
        <v>1424</v>
      </c>
    </row>
    <row r="4" spans="2:14" x14ac:dyDescent="0.25">
      <c r="B4" s="84"/>
      <c r="C4" s="84"/>
      <c r="D4" s="84"/>
      <c r="E4" s="85"/>
      <c r="F4" s="85"/>
      <c r="G4" s="86"/>
      <c r="H4" s="98"/>
      <c r="K4" s="86"/>
      <c r="L4" s="86"/>
      <c r="M4" s="86"/>
      <c r="N4" s="86"/>
    </row>
    <row r="5" spans="2:14" x14ac:dyDescent="0.25">
      <c r="B5" s="507" t="s">
        <v>8</v>
      </c>
      <c r="C5" s="508"/>
      <c r="D5" s="508"/>
      <c r="E5" s="508"/>
      <c r="F5" s="508"/>
      <c r="G5" s="508"/>
      <c r="H5" s="504" t="str">
        <f>"CHAPTER "&amp;B11</f>
        <v>CHAPTER C1.3 CPG</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05"/>
      <c r="I6" s="9"/>
    </row>
    <row r="7" spans="2:14" ht="12.75" customHeight="1" x14ac:dyDescent="0.25">
      <c r="B7" s="500"/>
      <c r="C7" s="501"/>
      <c r="D7" s="501"/>
      <c r="E7" s="501"/>
      <c r="F7" s="501"/>
      <c r="G7" s="501"/>
      <c r="H7" s="505"/>
      <c r="I7" s="9"/>
    </row>
    <row r="8" spans="2:14" ht="7.5" customHeight="1" x14ac:dyDescent="0.25">
      <c r="B8" s="502"/>
      <c r="C8" s="503"/>
      <c r="D8" s="503"/>
      <c r="E8" s="503"/>
      <c r="F8" s="503"/>
      <c r="G8" s="503"/>
      <c r="H8" s="506"/>
      <c r="I8" s="9"/>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53"/>
      <c r="C10" s="15"/>
      <c r="D10" s="15"/>
      <c r="E10" s="16"/>
      <c r="F10" s="16"/>
      <c r="G10" s="17"/>
      <c r="H10" s="26" t="str">
        <f t="shared" ref="H10:H15" si="0">IF(E10="","",F10*G10)</f>
        <v/>
      </c>
      <c r="I10" s="19"/>
      <c r="K10" s="17"/>
      <c r="L10" s="17"/>
      <c r="M10" s="17"/>
      <c r="N10" s="17"/>
    </row>
    <row r="11" spans="2:14" ht="26.4" x14ac:dyDescent="0.25">
      <c r="B11" s="80" t="s">
        <v>1529</v>
      </c>
      <c r="C11" s="21" t="s">
        <v>71</v>
      </c>
      <c r="D11" s="21"/>
      <c r="E11" s="23"/>
      <c r="F11" s="23"/>
      <c r="G11" s="43"/>
      <c r="H11" s="26" t="str">
        <f t="shared" si="0"/>
        <v/>
      </c>
      <c r="I11" s="44"/>
      <c r="K11" s="43"/>
      <c r="L11" s="43"/>
      <c r="M11" s="43"/>
      <c r="N11" s="43"/>
    </row>
    <row r="12" spans="2:14" x14ac:dyDescent="0.25">
      <c r="B12" s="53"/>
      <c r="C12" s="15"/>
      <c r="D12" s="15"/>
      <c r="E12" s="23"/>
      <c r="F12" s="23"/>
      <c r="G12" s="43"/>
      <c r="H12" s="26" t="str">
        <f t="shared" si="0"/>
        <v/>
      </c>
      <c r="I12" s="44"/>
      <c r="K12" s="43"/>
      <c r="L12" s="43"/>
      <c r="M12" s="43"/>
      <c r="N12" s="43"/>
    </row>
    <row r="13" spans="2:14" x14ac:dyDescent="0.25">
      <c r="B13" s="53" t="s">
        <v>72</v>
      </c>
      <c r="C13" s="15" t="s">
        <v>73</v>
      </c>
      <c r="D13" s="15"/>
      <c r="E13" s="23"/>
      <c r="F13" s="23"/>
      <c r="G13" s="43"/>
      <c r="H13" s="26" t="str">
        <f t="shared" si="0"/>
        <v/>
      </c>
      <c r="I13" s="44"/>
      <c r="K13" s="43"/>
      <c r="L13" s="43"/>
      <c r="M13" s="43"/>
      <c r="N13" s="43"/>
    </row>
    <row r="14" spans="2:14" x14ac:dyDescent="0.25">
      <c r="B14" s="53"/>
      <c r="C14" s="15"/>
      <c r="D14" s="15"/>
      <c r="E14" s="23"/>
      <c r="F14" s="23"/>
      <c r="G14" s="43"/>
      <c r="H14" s="26" t="str">
        <f t="shared" si="0"/>
        <v/>
      </c>
      <c r="I14" s="44"/>
      <c r="K14" s="43"/>
      <c r="L14" s="43"/>
      <c r="M14" s="43"/>
      <c r="N14" s="43"/>
    </row>
    <row r="15" spans="2:14" x14ac:dyDescent="0.25">
      <c r="B15" s="53" t="s">
        <v>74</v>
      </c>
      <c r="C15" s="15" t="s">
        <v>76</v>
      </c>
      <c r="D15" s="15"/>
      <c r="E15" s="23" t="s">
        <v>11</v>
      </c>
      <c r="F15" s="24">
        <v>1</v>
      </c>
      <c r="G15" s="17">
        <v>787500</v>
      </c>
      <c r="H15" s="26">
        <f t="shared" si="0"/>
        <v>787500</v>
      </c>
      <c r="I15" s="45"/>
      <c r="K15" s="17"/>
      <c r="L15" s="17"/>
      <c r="M15" s="17"/>
      <c r="N15" s="17"/>
    </row>
    <row r="16" spans="2:14" x14ac:dyDescent="0.25">
      <c r="B16" s="53"/>
      <c r="C16" s="15"/>
      <c r="D16" s="15"/>
      <c r="E16" s="23"/>
      <c r="F16" s="24"/>
      <c r="G16" s="43"/>
      <c r="H16" s="26"/>
      <c r="I16" s="45"/>
      <c r="K16" s="43"/>
      <c r="L16" s="43"/>
      <c r="M16" s="43"/>
      <c r="N16" s="43"/>
    </row>
    <row r="17" spans="2:14" x14ac:dyDescent="0.25">
      <c r="B17" s="53" t="s">
        <v>75</v>
      </c>
      <c r="C17" s="15" t="s">
        <v>77</v>
      </c>
      <c r="D17" s="15"/>
      <c r="E17" s="23" t="s">
        <v>21</v>
      </c>
      <c r="F17" s="24">
        <v>18</v>
      </c>
      <c r="G17" s="43">
        <v>78750</v>
      </c>
      <c r="H17" s="26">
        <f>IF(E17="","",F17*G17)</f>
        <v>1417500</v>
      </c>
      <c r="I17" s="45"/>
      <c r="K17" s="471"/>
      <c r="L17" s="43"/>
      <c r="M17" s="43"/>
      <c r="N17" s="43"/>
    </row>
    <row r="18" spans="2:14" x14ac:dyDescent="0.25">
      <c r="B18" s="53"/>
      <c r="C18" s="15"/>
      <c r="D18" s="15"/>
      <c r="E18" s="23"/>
      <c r="F18" s="24"/>
      <c r="G18" s="43"/>
      <c r="H18" s="26" t="str">
        <f>IF(E18="","",F18*G18)</f>
        <v/>
      </c>
      <c r="I18" s="44"/>
      <c r="K18" s="43"/>
      <c r="L18" s="43"/>
      <c r="M18" s="43"/>
      <c r="N18" s="43"/>
    </row>
    <row r="19" spans="2:14" x14ac:dyDescent="0.25">
      <c r="B19" s="53"/>
      <c r="C19" s="15"/>
      <c r="D19" s="15"/>
      <c r="E19" s="23"/>
      <c r="F19" s="23"/>
      <c r="G19" s="43"/>
      <c r="H19" s="26"/>
      <c r="I19" s="44"/>
      <c r="K19" s="43"/>
      <c r="L19" s="43"/>
      <c r="M19" s="43"/>
      <c r="N19" s="43"/>
    </row>
    <row r="20" spans="2:14" x14ac:dyDescent="0.25">
      <c r="B20" s="53"/>
      <c r="C20" s="15"/>
      <c r="D20" s="15"/>
      <c r="E20" s="23"/>
      <c r="F20" s="23"/>
      <c r="G20" s="43"/>
      <c r="H20" s="26"/>
      <c r="I20" s="44"/>
      <c r="K20" s="43"/>
      <c r="L20" s="43"/>
      <c r="M20" s="43"/>
      <c r="N20" s="43"/>
    </row>
    <row r="21" spans="2:14" x14ac:dyDescent="0.25">
      <c r="B21" s="53"/>
      <c r="C21" s="15"/>
      <c r="D21" s="15"/>
      <c r="E21" s="23"/>
      <c r="F21" s="23"/>
      <c r="G21" s="43"/>
      <c r="H21" s="26"/>
      <c r="I21" s="44"/>
      <c r="K21" s="43"/>
      <c r="L21" s="43"/>
      <c r="M21" s="43"/>
      <c r="N21" s="43"/>
    </row>
    <row r="22" spans="2:14" x14ac:dyDescent="0.25">
      <c r="B22" s="53"/>
      <c r="C22" s="15"/>
      <c r="D22" s="15"/>
      <c r="E22" s="23"/>
      <c r="F22" s="23"/>
      <c r="G22" s="17"/>
      <c r="H22" s="26"/>
      <c r="I22" s="44"/>
      <c r="K22" s="17"/>
      <c r="L22" s="17"/>
      <c r="M22" s="17"/>
      <c r="N22" s="17"/>
    </row>
    <row r="23" spans="2:14" x14ac:dyDescent="0.25">
      <c r="B23" s="53"/>
      <c r="C23" s="15"/>
      <c r="D23" s="15"/>
      <c r="E23" s="23"/>
      <c r="F23" s="23"/>
      <c r="G23" s="41"/>
      <c r="H23" s="26"/>
      <c r="I23" s="44"/>
      <c r="K23" s="41"/>
      <c r="L23" s="41"/>
      <c r="M23" s="41"/>
      <c r="N23" s="41"/>
    </row>
    <row r="24" spans="2:14" x14ac:dyDescent="0.25">
      <c r="B24" s="53"/>
      <c r="C24" s="15"/>
      <c r="D24" s="15"/>
      <c r="E24" s="23"/>
      <c r="F24" s="23"/>
      <c r="G24" s="41"/>
      <c r="H24" s="26"/>
      <c r="I24" s="44"/>
      <c r="K24" s="41"/>
      <c r="L24" s="41"/>
      <c r="M24" s="41"/>
      <c r="N24" s="41"/>
    </row>
    <row r="25" spans="2:14" x14ac:dyDescent="0.25">
      <c r="B25" s="53"/>
      <c r="C25" s="15"/>
      <c r="D25" s="15"/>
      <c r="E25" s="23"/>
      <c r="F25" s="23"/>
      <c r="G25" s="41"/>
      <c r="H25" s="26"/>
      <c r="I25" s="44"/>
      <c r="K25" s="41"/>
      <c r="L25" s="41"/>
      <c r="M25" s="41"/>
      <c r="N25" s="41"/>
    </row>
    <row r="26" spans="2:14" x14ac:dyDescent="0.25">
      <c r="B26" s="53"/>
      <c r="C26" s="15"/>
      <c r="D26" s="15"/>
      <c r="E26" s="23"/>
      <c r="F26" s="23"/>
      <c r="G26" s="41"/>
      <c r="H26" s="26"/>
      <c r="I26" s="44"/>
      <c r="K26" s="41"/>
      <c r="L26" s="41"/>
      <c r="M26" s="41"/>
      <c r="N26" s="41"/>
    </row>
    <row r="27" spans="2:14" x14ac:dyDescent="0.25">
      <c r="B27" s="53"/>
      <c r="C27" s="15"/>
      <c r="D27" s="15"/>
      <c r="E27" s="23"/>
      <c r="F27" s="23"/>
      <c r="G27" s="41"/>
      <c r="H27" s="26"/>
      <c r="I27" s="44"/>
      <c r="K27" s="41"/>
      <c r="L27" s="41"/>
      <c r="M27" s="41"/>
      <c r="N27" s="41"/>
    </row>
    <row r="28" spans="2:14" x14ac:dyDescent="0.25">
      <c r="B28" s="53"/>
      <c r="C28" s="15"/>
      <c r="D28" s="15"/>
      <c r="E28" s="23"/>
      <c r="F28" s="23"/>
      <c r="G28" s="41"/>
      <c r="H28" s="26"/>
      <c r="I28" s="44"/>
      <c r="K28" s="41"/>
      <c r="L28" s="41"/>
      <c r="M28" s="41"/>
      <c r="N28" s="41"/>
    </row>
    <row r="29" spans="2:14" x14ac:dyDescent="0.25">
      <c r="B29" s="53"/>
      <c r="C29" s="15"/>
      <c r="D29" s="15"/>
      <c r="E29" s="23"/>
      <c r="F29" s="23"/>
      <c r="G29" s="41"/>
      <c r="H29" s="26"/>
      <c r="I29" s="44"/>
      <c r="K29" s="41"/>
      <c r="L29" s="41"/>
      <c r="M29" s="41"/>
      <c r="N29" s="41"/>
    </row>
    <row r="30" spans="2:14" x14ac:dyDescent="0.25">
      <c r="B30" s="53"/>
      <c r="C30" s="15"/>
      <c r="D30" s="15"/>
      <c r="E30" s="23"/>
      <c r="F30" s="23"/>
      <c r="G30" s="41"/>
      <c r="H30" s="26"/>
      <c r="I30" s="44"/>
      <c r="K30" s="41"/>
      <c r="L30" s="41"/>
      <c r="M30" s="41"/>
      <c r="N30" s="41"/>
    </row>
    <row r="31" spans="2:14" x14ac:dyDescent="0.25">
      <c r="B31" s="53"/>
      <c r="C31" s="15"/>
      <c r="D31" s="15"/>
      <c r="E31" s="23"/>
      <c r="F31" s="23"/>
      <c r="G31" s="41"/>
      <c r="H31" s="26"/>
      <c r="I31" s="44"/>
      <c r="K31" s="41"/>
      <c r="L31" s="41"/>
      <c r="M31" s="41"/>
      <c r="N31" s="41"/>
    </row>
    <row r="32" spans="2:14" x14ac:dyDescent="0.25">
      <c r="B32" s="53"/>
      <c r="C32" s="15"/>
      <c r="D32" s="15"/>
      <c r="E32" s="23"/>
      <c r="F32" s="23"/>
      <c r="G32" s="41"/>
      <c r="H32" s="26"/>
      <c r="I32" s="44"/>
      <c r="K32" s="41"/>
      <c r="L32" s="41"/>
      <c r="M32" s="41"/>
      <c r="N32" s="41"/>
    </row>
    <row r="33" spans="2:14" x14ac:dyDescent="0.25">
      <c r="B33" s="53"/>
      <c r="C33" s="15"/>
      <c r="D33" s="15"/>
      <c r="E33" s="23"/>
      <c r="F33" s="23"/>
      <c r="G33" s="41"/>
      <c r="H33" s="26"/>
      <c r="I33" s="44"/>
      <c r="K33" s="41"/>
      <c r="L33" s="41"/>
      <c r="M33" s="41"/>
      <c r="N33" s="41"/>
    </row>
    <row r="34" spans="2:14" x14ac:dyDescent="0.25">
      <c r="B34" s="53"/>
      <c r="C34" s="15"/>
      <c r="D34" s="15"/>
      <c r="E34" s="23"/>
      <c r="F34" s="23"/>
      <c r="G34" s="41"/>
      <c r="H34" s="26"/>
      <c r="I34" s="44"/>
      <c r="K34" s="41"/>
      <c r="L34" s="41"/>
      <c r="M34" s="41"/>
      <c r="N34" s="41"/>
    </row>
    <row r="35" spans="2:14" x14ac:dyDescent="0.25">
      <c r="B35" s="53"/>
      <c r="C35" s="15"/>
      <c r="D35" s="15"/>
      <c r="E35" s="23"/>
      <c r="F35" s="23"/>
      <c r="G35" s="41"/>
      <c r="H35" s="26"/>
      <c r="I35" s="44"/>
      <c r="K35" s="41"/>
      <c r="L35" s="41"/>
      <c r="M35" s="41"/>
      <c r="N35" s="41"/>
    </row>
    <row r="36" spans="2:14" x14ac:dyDescent="0.25">
      <c r="B36" s="53"/>
      <c r="C36" s="15"/>
      <c r="D36" s="15"/>
      <c r="E36" s="23"/>
      <c r="F36" s="23"/>
      <c r="G36" s="41"/>
      <c r="H36" s="26"/>
      <c r="I36" s="44"/>
      <c r="K36" s="41"/>
      <c r="L36" s="41"/>
      <c r="M36" s="41"/>
      <c r="N36" s="41"/>
    </row>
    <row r="37" spans="2:14" x14ac:dyDescent="0.25">
      <c r="B37" s="53"/>
      <c r="C37" s="15"/>
      <c r="D37" s="15"/>
      <c r="E37" s="23"/>
      <c r="F37" s="23"/>
      <c r="G37" s="41"/>
      <c r="H37" s="26"/>
      <c r="I37" s="44"/>
      <c r="K37" s="41"/>
      <c r="L37" s="41"/>
      <c r="M37" s="41"/>
      <c r="N37" s="41"/>
    </row>
    <row r="38" spans="2:14" x14ac:dyDescent="0.25">
      <c r="B38" s="53"/>
      <c r="C38" s="15"/>
      <c r="D38" s="15"/>
      <c r="E38" s="23"/>
      <c r="F38" s="23"/>
      <c r="G38" s="41"/>
      <c r="H38" s="26"/>
      <c r="I38" s="44"/>
      <c r="K38" s="41"/>
      <c r="L38" s="41"/>
      <c r="M38" s="41"/>
      <c r="N38" s="41"/>
    </row>
    <row r="39" spans="2:14" x14ac:dyDescent="0.25">
      <c r="B39" s="53"/>
      <c r="C39" s="15"/>
      <c r="D39" s="15"/>
      <c r="E39" s="23"/>
      <c r="F39" s="23"/>
      <c r="G39" s="41"/>
      <c r="H39" s="26"/>
      <c r="I39" s="44"/>
      <c r="K39" s="41"/>
      <c r="L39" s="41"/>
      <c r="M39" s="41"/>
      <c r="N39" s="41"/>
    </row>
    <row r="40" spans="2:14" x14ac:dyDescent="0.25">
      <c r="B40" s="53"/>
      <c r="C40" s="15"/>
      <c r="D40" s="15"/>
      <c r="E40" s="23"/>
      <c r="F40" s="23"/>
      <c r="G40" s="41"/>
      <c r="H40" s="26"/>
      <c r="I40" s="44"/>
      <c r="K40" s="41"/>
      <c r="L40" s="41"/>
      <c r="M40" s="41"/>
      <c r="N40" s="41"/>
    </row>
    <row r="41" spans="2:14" x14ac:dyDescent="0.25">
      <c r="B41" s="53"/>
      <c r="C41" s="15"/>
      <c r="D41" s="15"/>
      <c r="E41" s="23"/>
      <c r="F41" s="23"/>
      <c r="G41" s="41"/>
      <c r="H41" s="26"/>
      <c r="I41" s="44"/>
      <c r="K41" s="41"/>
      <c r="L41" s="41"/>
      <c r="M41" s="41"/>
      <c r="N41" s="41"/>
    </row>
    <row r="42" spans="2:14" x14ac:dyDescent="0.25">
      <c r="B42" s="53"/>
      <c r="C42" s="15"/>
      <c r="D42" s="15"/>
      <c r="E42" s="23"/>
      <c r="F42" s="23"/>
      <c r="G42" s="41"/>
      <c r="H42" s="26"/>
      <c r="I42" s="44"/>
      <c r="K42" s="41"/>
      <c r="L42" s="41"/>
      <c r="M42" s="41"/>
      <c r="N42" s="41"/>
    </row>
    <row r="43" spans="2:14" x14ac:dyDescent="0.25">
      <c r="B43" s="53"/>
      <c r="C43" s="15"/>
      <c r="D43" s="15"/>
      <c r="E43" s="23"/>
      <c r="F43" s="23"/>
      <c r="G43" s="41"/>
      <c r="H43" s="26"/>
      <c r="I43" s="44"/>
      <c r="K43" s="41"/>
      <c r="L43" s="41"/>
      <c r="M43" s="41"/>
      <c r="N43" s="41"/>
    </row>
    <row r="44" spans="2:14" x14ac:dyDescent="0.25">
      <c r="B44" s="53"/>
      <c r="C44" s="15"/>
      <c r="D44" s="15"/>
      <c r="E44" s="23"/>
      <c r="F44" s="23"/>
      <c r="G44" s="41"/>
      <c r="H44" s="26"/>
      <c r="I44" s="44"/>
      <c r="K44" s="41"/>
      <c r="L44" s="41"/>
      <c r="M44" s="41"/>
      <c r="N44" s="41"/>
    </row>
    <row r="45" spans="2:14" x14ac:dyDescent="0.25">
      <c r="B45" s="53"/>
      <c r="C45" s="15"/>
      <c r="D45" s="15"/>
      <c r="E45" s="23"/>
      <c r="F45" s="23"/>
      <c r="G45" s="41"/>
      <c r="H45" s="26"/>
      <c r="I45" s="44"/>
      <c r="K45" s="41"/>
      <c r="L45" s="41"/>
      <c r="M45" s="41"/>
      <c r="N45" s="41"/>
    </row>
    <row r="46" spans="2:14" x14ac:dyDescent="0.25">
      <c r="B46" s="53"/>
      <c r="C46" s="15"/>
      <c r="D46" s="15"/>
      <c r="E46" s="23"/>
      <c r="F46" s="23"/>
      <c r="G46" s="41"/>
      <c r="H46" s="26"/>
      <c r="I46" s="44"/>
      <c r="K46" s="41"/>
      <c r="L46" s="41"/>
      <c r="M46" s="41"/>
      <c r="N46" s="41"/>
    </row>
    <row r="47" spans="2:14" x14ac:dyDescent="0.25">
      <c r="B47" s="53"/>
      <c r="C47" s="15"/>
      <c r="D47" s="15"/>
      <c r="E47" s="23"/>
      <c r="F47" s="23"/>
      <c r="G47" s="41"/>
      <c r="H47" s="26"/>
      <c r="I47" s="44"/>
      <c r="K47" s="41"/>
      <c r="L47" s="41"/>
      <c r="M47" s="41"/>
      <c r="N47" s="41"/>
    </row>
    <row r="48" spans="2:14" x14ac:dyDescent="0.25">
      <c r="B48" s="53"/>
      <c r="C48" s="15"/>
      <c r="D48" s="15"/>
      <c r="E48" s="23"/>
      <c r="F48" s="23"/>
      <c r="G48" s="41"/>
      <c r="H48" s="26"/>
      <c r="I48" s="44"/>
      <c r="K48" s="41"/>
      <c r="L48" s="41"/>
      <c r="M48" s="41"/>
      <c r="N48" s="41"/>
    </row>
    <row r="49" spans="2:14" x14ac:dyDescent="0.25">
      <c r="B49" s="53"/>
      <c r="C49" s="15"/>
      <c r="D49" s="15"/>
      <c r="E49" s="23"/>
      <c r="F49" s="23"/>
      <c r="G49" s="41"/>
      <c r="H49" s="26"/>
      <c r="I49" s="44"/>
      <c r="K49" s="41"/>
      <c r="L49" s="41"/>
      <c r="M49" s="41"/>
      <c r="N49" s="41"/>
    </row>
    <row r="50" spans="2:14" x14ac:dyDescent="0.25">
      <c r="B50" s="53"/>
      <c r="C50" s="15"/>
      <c r="D50" s="15"/>
      <c r="E50" s="23"/>
      <c r="F50" s="23"/>
      <c r="G50" s="41"/>
      <c r="H50" s="26"/>
      <c r="I50" s="44"/>
      <c r="K50" s="41"/>
      <c r="L50" s="41"/>
      <c r="M50" s="41"/>
      <c r="N50" s="41"/>
    </row>
    <row r="51" spans="2:14" x14ac:dyDescent="0.25">
      <c r="B51" s="53"/>
      <c r="C51" s="15"/>
      <c r="D51" s="15"/>
      <c r="E51" s="23"/>
      <c r="F51" s="23"/>
      <c r="G51" s="41"/>
      <c r="H51" s="26"/>
      <c r="I51" s="44"/>
      <c r="K51" s="41"/>
      <c r="L51" s="41"/>
      <c r="M51" s="41"/>
      <c r="N51" s="41"/>
    </row>
    <row r="52" spans="2:14" x14ac:dyDescent="0.25">
      <c r="B52" s="53"/>
      <c r="C52" s="15"/>
      <c r="D52" s="15"/>
      <c r="E52" s="23"/>
      <c r="F52" s="23"/>
      <c r="G52" s="41"/>
      <c r="H52" s="26"/>
      <c r="I52" s="44"/>
      <c r="K52" s="41"/>
      <c r="L52" s="41"/>
      <c r="M52" s="41"/>
      <c r="N52" s="41"/>
    </row>
    <row r="53" spans="2:14" x14ac:dyDescent="0.25">
      <c r="B53" s="53"/>
      <c r="C53" s="15"/>
      <c r="D53" s="15"/>
      <c r="E53" s="23"/>
      <c r="F53" s="23"/>
      <c r="G53" s="41"/>
      <c r="H53" s="26"/>
      <c r="I53" s="44"/>
      <c r="K53" s="41"/>
      <c r="L53" s="41"/>
      <c r="M53" s="41"/>
      <c r="N53" s="41"/>
    </row>
    <row r="54" spans="2:14" x14ac:dyDescent="0.25">
      <c r="B54" s="53"/>
      <c r="C54" s="15"/>
      <c r="D54" s="15"/>
      <c r="E54" s="23"/>
      <c r="F54" s="23"/>
      <c r="G54" s="41"/>
      <c r="H54" s="26"/>
      <c r="I54" s="44"/>
      <c r="K54" s="41"/>
      <c r="L54" s="41"/>
      <c r="M54" s="41"/>
      <c r="N54" s="41"/>
    </row>
    <row r="55" spans="2:14" x14ac:dyDescent="0.25">
      <c r="B55" s="53"/>
      <c r="C55" s="15"/>
      <c r="D55" s="15"/>
      <c r="E55" s="23"/>
      <c r="F55" s="23"/>
      <c r="G55" s="41"/>
      <c r="H55" s="26"/>
      <c r="I55" s="44"/>
      <c r="K55" s="41"/>
      <c r="L55" s="41"/>
      <c r="M55" s="41"/>
      <c r="N55" s="41"/>
    </row>
    <row r="56" spans="2:14" x14ac:dyDescent="0.25">
      <c r="B56" s="53"/>
      <c r="C56" s="15"/>
      <c r="D56" s="15"/>
      <c r="E56" s="23"/>
      <c r="F56" s="23"/>
      <c r="G56" s="41"/>
      <c r="H56" s="26"/>
      <c r="I56" s="44"/>
      <c r="K56" s="41"/>
      <c r="L56" s="41"/>
      <c r="M56" s="41"/>
      <c r="N56" s="41"/>
    </row>
    <row r="57" spans="2:14" x14ac:dyDescent="0.25">
      <c r="B57" s="53"/>
      <c r="C57" s="15"/>
      <c r="D57" s="15"/>
      <c r="E57" s="23"/>
      <c r="F57" s="23"/>
      <c r="G57" s="41"/>
      <c r="H57" s="26"/>
      <c r="I57" s="44"/>
      <c r="K57" s="41"/>
      <c r="L57" s="41"/>
      <c r="M57" s="41"/>
      <c r="N57" s="41"/>
    </row>
    <row r="58" spans="2:14" x14ac:dyDescent="0.25">
      <c r="B58" s="53"/>
      <c r="C58" s="15"/>
      <c r="D58" s="15"/>
      <c r="E58" s="23"/>
      <c r="F58" s="23"/>
      <c r="G58" s="41"/>
      <c r="H58" s="26"/>
      <c r="I58" s="44"/>
      <c r="K58" s="41"/>
      <c r="L58" s="41"/>
      <c r="M58" s="41"/>
      <c r="N58" s="41"/>
    </row>
    <row r="59" spans="2:14" x14ac:dyDescent="0.25">
      <c r="B59" s="53"/>
      <c r="C59" s="15"/>
      <c r="D59" s="15"/>
      <c r="E59" s="23"/>
      <c r="F59" s="23"/>
      <c r="G59" s="41"/>
      <c r="H59" s="26"/>
      <c r="I59" s="44"/>
      <c r="K59" s="41"/>
      <c r="L59" s="41"/>
      <c r="M59" s="41"/>
      <c r="N59" s="41"/>
    </row>
    <row r="60" spans="2:14" x14ac:dyDescent="0.25">
      <c r="B60" s="53"/>
      <c r="C60" s="15"/>
      <c r="D60" s="15"/>
      <c r="E60" s="23"/>
      <c r="F60" s="23"/>
      <c r="G60" s="41"/>
      <c r="H60" s="26"/>
      <c r="I60" s="44"/>
      <c r="K60" s="41"/>
      <c r="L60" s="41"/>
      <c r="M60" s="41"/>
      <c r="N60" s="41"/>
    </row>
    <row r="61" spans="2:14" x14ac:dyDescent="0.25">
      <c r="B61" s="53"/>
      <c r="C61" s="15"/>
      <c r="D61" s="15"/>
      <c r="E61" s="23"/>
      <c r="F61" s="23"/>
      <c r="G61" s="41"/>
      <c r="H61" s="26"/>
      <c r="I61" s="44"/>
      <c r="K61" s="41"/>
      <c r="L61" s="41"/>
      <c r="M61" s="41"/>
      <c r="N61" s="41"/>
    </row>
    <row r="62" spans="2:14" x14ac:dyDescent="0.25">
      <c r="B62" s="53"/>
      <c r="C62" s="15"/>
      <c r="D62" s="15"/>
      <c r="E62" s="23"/>
      <c r="F62" s="23"/>
      <c r="G62" s="41"/>
      <c r="H62" s="26"/>
      <c r="I62" s="44"/>
      <c r="K62" s="41"/>
      <c r="L62" s="41"/>
      <c r="M62" s="41"/>
      <c r="N62" s="41"/>
    </row>
    <row r="63" spans="2:14" x14ac:dyDescent="0.25">
      <c r="B63" s="53"/>
      <c r="C63" s="15"/>
      <c r="D63" s="15"/>
      <c r="E63" s="23"/>
      <c r="F63" s="23"/>
      <c r="G63" s="41"/>
      <c r="H63" s="26"/>
      <c r="I63" s="44"/>
      <c r="K63" s="41"/>
      <c r="L63" s="41"/>
      <c r="M63" s="41"/>
      <c r="N63" s="41"/>
    </row>
    <row r="64" spans="2:14" x14ac:dyDescent="0.25">
      <c r="B64" s="53"/>
      <c r="C64" s="15"/>
      <c r="D64" s="15"/>
      <c r="E64" s="23"/>
      <c r="F64" s="23"/>
      <c r="G64" s="41"/>
      <c r="H64" s="26"/>
      <c r="I64" s="44"/>
      <c r="K64" s="41"/>
      <c r="L64" s="41"/>
      <c r="M64" s="41"/>
      <c r="N64" s="41"/>
    </row>
    <row r="65" spans="2:14" x14ac:dyDescent="0.25">
      <c r="B65" s="53"/>
      <c r="C65" s="15"/>
      <c r="D65" s="15"/>
      <c r="E65" s="23"/>
      <c r="F65" s="23"/>
      <c r="G65" s="41"/>
      <c r="H65" s="26"/>
      <c r="I65" s="44"/>
      <c r="K65" s="41"/>
      <c r="L65" s="41"/>
      <c r="M65" s="41"/>
      <c r="N65" s="41"/>
    </row>
    <row r="66" spans="2:14" x14ac:dyDescent="0.25">
      <c r="B66" s="53"/>
      <c r="C66" s="15"/>
      <c r="D66" s="15"/>
      <c r="E66" s="23"/>
      <c r="F66" s="23"/>
      <c r="G66" s="41"/>
      <c r="H66" s="26"/>
      <c r="I66" s="44"/>
      <c r="K66" s="41"/>
      <c r="L66" s="41"/>
      <c r="M66" s="41"/>
      <c r="N66" s="41"/>
    </row>
    <row r="67" spans="2:14" x14ac:dyDescent="0.25">
      <c r="B67" s="53"/>
      <c r="C67" s="15"/>
      <c r="D67" s="15"/>
      <c r="E67" s="23"/>
      <c r="F67" s="23"/>
      <c r="G67" s="41"/>
      <c r="H67" s="26"/>
      <c r="I67" s="44"/>
      <c r="K67" s="41"/>
      <c r="L67" s="41"/>
      <c r="M67" s="41"/>
      <c r="N67" s="41"/>
    </row>
    <row r="68" spans="2:14" x14ac:dyDescent="0.25">
      <c r="B68" s="53"/>
      <c r="C68" s="15"/>
      <c r="D68" s="15"/>
      <c r="E68" s="23"/>
      <c r="F68" s="23"/>
      <c r="G68" s="41"/>
      <c r="H68" s="26"/>
      <c r="I68" s="44"/>
      <c r="K68" s="41"/>
      <c r="L68" s="41"/>
      <c r="M68" s="41"/>
      <c r="N68" s="41"/>
    </row>
    <row r="69" spans="2:14" x14ac:dyDescent="0.25">
      <c r="B69" s="53"/>
      <c r="C69" s="15"/>
      <c r="D69" s="15"/>
      <c r="E69" s="23"/>
      <c r="F69" s="23"/>
      <c r="G69" s="41"/>
      <c r="H69" s="26"/>
      <c r="I69" s="44"/>
      <c r="K69" s="41"/>
      <c r="L69" s="41"/>
      <c r="M69" s="41"/>
      <c r="N69" s="41"/>
    </row>
    <row r="70" spans="2:14" s="31" customFormat="1" ht="25.2" customHeight="1" x14ac:dyDescent="0.25">
      <c r="B70" s="32" t="s">
        <v>1534</v>
      </c>
      <c r="C70" s="474" t="s">
        <v>957</v>
      </c>
      <c r="D70" s="488"/>
      <c r="E70" s="34"/>
      <c r="F70" s="35"/>
      <c r="G70" s="34"/>
      <c r="H70" s="36">
        <f>SUM(H10:H69)</f>
        <v>2205000</v>
      </c>
      <c r="I70" s="37"/>
      <c r="K70" s="34"/>
      <c r="L70" s="34"/>
      <c r="M70" s="34"/>
      <c r="N70" s="34"/>
    </row>
  </sheetData>
  <mergeCells count="4">
    <mergeCell ref="F2:H2"/>
    <mergeCell ref="B5:G5"/>
    <mergeCell ref="H5:H8"/>
    <mergeCell ref="B6:G8"/>
  </mergeCells>
  <pageMargins left="0.62992125984251968" right="0.43307086614173229" top="0.62992125984251968" bottom="0.55118110236220474" header="0.51181102362204722" footer="0.31496062992125984"/>
  <pageSetup paperSize="9" scale="76"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7343-5B74-4FF1-8CF8-C344C66C4F43}">
  <sheetPr codeName="Sheet6">
    <tabColor theme="6"/>
  </sheetPr>
  <dimension ref="B1:N48"/>
  <sheetViews>
    <sheetView view="pageBreakPreview" topLeftCell="A14" zoomScaleNormal="125" zoomScaleSheetLayoutView="100" zoomScalePageLayoutView="125" workbookViewId="0">
      <selection activeCell="L25" sqref="L25"/>
    </sheetView>
  </sheetViews>
  <sheetFormatPr defaultColWidth="6.6640625" defaultRowHeight="13.2" x14ac:dyDescent="0.25"/>
  <cols>
    <col min="1" max="1" width="0.6640625" style="1" customWidth="1"/>
    <col min="2" max="2" width="11.5546875" style="38" customWidth="1"/>
    <col min="3" max="3" width="45.5546875" style="3" customWidth="1"/>
    <col min="4" max="4" width="6.3320312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0" width="6.6640625" style="1"/>
    <col min="11" max="11" width="8.44140625" style="1" bestFit="1" customWidth="1"/>
    <col min="12" max="12" width="10.6640625" style="1" bestFit="1" customWidth="1"/>
    <col min="13" max="16384" width="6.6640625" style="1"/>
  </cols>
  <sheetData>
    <row r="1" spans="2:14" x14ac:dyDescent="0.25">
      <c r="H1" s="234">
        <f>MAX(H9:H499)</f>
        <v>274475</v>
      </c>
    </row>
    <row r="2" spans="2:14" x14ac:dyDescent="0.25">
      <c r="B2" s="2" t="str">
        <f>Client1</f>
        <v>Province of KwaZulu-Natal</v>
      </c>
      <c r="F2" s="510" t="str">
        <f>"Contract No. "&amp;ContractNo</f>
        <v>Contract No. ZNB02215/00000/00/HOD/INF/23/T</v>
      </c>
      <c r="G2" s="510"/>
      <c r="H2" s="510"/>
      <c r="K2" s="402"/>
      <c r="L2" s="402">
        <f>MAX(L3:L244)</f>
        <v>71191.199999999997</v>
      </c>
      <c r="M2" s="402"/>
      <c r="N2" s="403"/>
    </row>
    <row r="3" spans="2:14" x14ac:dyDescent="0.25">
      <c r="B3" s="96" t="str">
        <f>Client2</f>
        <v>Department of Transport</v>
      </c>
      <c r="K3" s="1" t="s">
        <v>1421</v>
      </c>
      <c r="L3" s="1" t="s">
        <v>1422</v>
      </c>
      <c r="M3" s="1" t="s">
        <v>1423</v>
      </c>
      <c r="N3" s="1" t="s">
        <v>1424</v>
      </c>
    </row>
    <row r="4" spans="2:14" x14ac:dyDescent="0.25">
      <c r="B4" s="84"/>
      <c r="C4" s="84"/>
      <c r="D4" s="84"/>
      <c r="E4" s="85"/>
      <c r="F4" s="85"/>
      <c r="G4" s="86"/>
      <c r="H4" s="98"/>
      <c r="K4" s="86"/>
      <c r="L4" s="86"/>
      <c r="M4" s="86"/>
      <c r="N4" s="86"/>
    </row>
    <row r="5" spans="2:14" x14ac:dyDescent="0.25">
      <c r="B5" s="507" t="s">
        <v>8</v>
      </c>
      <c r="C5" s="508"/>
      <c r="D5" s="508"/>
      <c r="E5" s="508"/>
      <c r="F5" s="508"/>
      <c r="G5" s="508"/>
      <c r="H5" s="504" t="str">
        <f>"CHAPTER "&amp;B11</f>
        <v>CHAPTER C1.6</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05"/>
      <c r="I6" s="9"/>
    </row>
    <row r="7" spans="2:14" ht="12.75" customHeight="1" x14ac:dyDescent="0.25">
      <c r="B7" s="500"/>
      <c r="C7" s="501"/>
      <c r="D7" s="501"/>
      <c r="E7" s="501"/>
      <c r="F7" s="501"/>
      <c r="G7" s="501"/>
      <c r="H7" s="505"/>
      <c r="I7" s="9"/>
    </row>
    <row r="8" spans="2:14" ht="7.5" customHeight="1" x14ac:dyDescent="0.25">
      <c r="B8" s="502"/>
      <c r="C8" s="503"/>
      <c r="D8" s="503"/>
      <c r="E8" s="503"/>
      <c r="F8" s="503"/>
      <c r="G8" s="503"/>
      <c r="H8" s="506"/>
      <c r="I8" s="9"/>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53"/>
      <c r="C10" s="15"/>
      <c r="D10" s="15"/>
      <c r="E10" s="16"/>
      <c r="F10" s="16"/>
      <c r="G10" s="17"/>
      <c r="H10" s="26" t="str">
        <f t="shared" ref="H10:H17" si="0">IF(E10="","",F10*G10)</f>
        <v/>
      </c>
      <c r="I10" s="19"/>
      <c r="K10" s="17"/>
      <c r="L10" s="17"/>
      <c r="M10" s="17"/>
      <c r="N10" s="17"/>
    </row>
    <row r="11" spans="2:14" x14ac:dyDescent="0.25">
      <c r="B11" s="80" t="s">
        <v>258</v>
      </c>
      <c r="C11" s="21" t="s">
        <v>259</v>
      </c>
      <c r="D11" s="21"/>
      <c r="E11" s="23"/>
      <c r="F11" s="23"/>
      <c r="G11" s="43"/>
      <c r="H11" s="26" t="str">
        <f t="shared" si="0"/>
        <v/>
      </c>
      <c r="I11" s="44"/>
      <c r="K11" s="43"/>
      <c r="L11" s="43"/>
      <c r="M11" s="43"/>
      <c r="N11" s="43"/>
    </row>
    <row r="12" spans="2:14" x14ac:dyDescent="0.25">
      <c r="B12" s="53"/>
      <c r="C12" s="15"/>
      <c r="D12" s="15"/>
      <c r="E12" s="23"/>
      <c r="F12" s="23"/>
      <c r="G12" s="43"/>
      <c r="H12" s="26" t="str">
        <f t="shared" si="0"/>
        <v/>
      </c>
      <c r="I12" s="44"/>
      <c r="K12" s="43"/>
      <c r="L12" s="43"/>
      <c r="M12" s="43"/>
      <c r="N12" s="43"/>
    </row>
    <row r="13" spans="2:14" x14ac:dyDescent="0.25">
      <c r="B13" s="53" t="s">
        <v>260</v>
      </c>
      <c r="C13" s="15" t="s">
        <v>261</v>
      </c>
      <c r="D13" s="15"/>
      <c r="E13" s="23"/>
      <c r="F13" s="23"/>
      <c r="G13" s="43"/>
      <c r="H13" s="26" t="str">
        <f t="shared" si="0"/>
        <v/>
      </c>
      <c r="I13" s="44"/>
      <c r="K13" s="25"/>
      <c r="L13" s="48" t="str">
        <f t="shared" ref="L13:L45" si="1">IF(K13="","",K13*F13)</f>
        <v/>
      </c>
      <c r="M13" s="25"/>
      <c r="N13" s="25"/>
    </row>
    <row r="14" spans="2:14" x14ac:dyDescent="0.25">
      <c r="B14" s="53"/>
      <c r="C14" s="15"/>
      <c r="D14" s="15"/>
      <c r="E14" s="23"/>
      <c r="F14" s="23"/>
      <c r="G14" s="43"/>
      <c r="H14" s="26" t="str">
        <f t="shared" si="0"/>
        <v/>
      </c>
      <c r="I14" s="44"/>
      <c r="K14" s="17"/>
      <c r="L14" s="70" t="str">
        <f t="shared" si="1"/>
        <v/>
      </c>
      <c r="M14" s="43"/>
      <c r="N14" s="43"/>
    </row>
    <row r="15" spans="2:14" ht="26.4" x14ac:dyDescent="0.25">
      <c r="B15" s="53" t="s">
        <v>262</v>
      </c>
      <c r="C15" s="15" t="s">
        <v>264</v>
      </c>
      <c r="D15" s="15"/>
      <c r="E15" s="23" t="s">
        <v>32</v>
      </c>
      <c r="F15" s="24">
        <v>2</v>
      </c>
      <c r="G15" s="25">
        <v>5250</v>
      </c>
      <c r="H15" s="26">
        <f t="shared" si="0"/>
        <v>10500</v>
      </c>
      <c r="I15" s="45"/>
      <c r="K15" s="447">
        <v>1852</v>
      </c>
      <c r="L15" s="70">
        <f t="shared" si="1"/>
        <v>3704</v>
      </c>
      <c r="M15" s="43"/>
      <c r="N15" s="43"/>
    </row>
    <row r="16" spans="2:14" x14ac:dyDescent="0.25">
      <c r="B16" s="53"/>
      <c r="C16" s="15"/>
      <c r="D16" s="15"/>
      <c r="E16" s="23"/>
      <c r="F16" s="24"/>
      <c r="G16" s="25" t="s">
        <v>1556</v>
      </c>
      <c r="H16" s="26" t="str">
        <f t="shared" si="0"/>
        <v/>
      </c>
      <c r="I16" s="45"/>
      <c r="K16" s="17"/>
      <c r="L16" s="70" t="str">
        <f t="shared" si="1"/>
        <v/>
      </c>
      <c r="M16" s="43"/>
      <c r="N16" s="43"/>
    </row>
    <row r="17" spans="2:14" ht="26.4" x14ac:dyDescent="0.25">
      <c r="B17" s="53" t="s">
        <v>263</v>
      </c>
      <c r="C17" s="15" t="s">
        <v>265</v>
      </c>
      <c r="D17" s="23" t="s">
        <v>1602</v>
      </c>
      <c r="E17" s="23" t="s">
        <v>32</v>
      </c>
      <c r="F17" s="24">
        <v>3</v>
      </c>
      <c r="G17" s="25">
        <v>10500</v>
      </c>
      <c r="H17" s="26">
        <f t="shared" si="0"/>
        <v>31500</v>
      </c>
      <c r="I17" s="45"/>
      <c r="K17" s="447">
        <v>7408</v>
      </c>
      <c r="L17" s="70">
        <f t="shared" si="1"/>
        <v>22224</v>
      </c>
      <c r="M17" s="43"/>
      <c r="N17" s="43"/>
    </row>
    <row r="18" spans="2:14" x14ac:dyDescent="0.25">
      <c r="B18" s="53"/>
      <c r="C18" s="15"/>
      <c r="D18" s="15"/>
      <c r="E18" s="23"/>
      <c r="F18" s="24"/>
      <c r="G18" s="25" t="s">
        <v>1556</v>
      </c>
      <c r="H18" s="26"/>
      <c r="I18" s="45"/>
      <c r="K18" s="17"/>
      <c r="L18" s="70" t="str">
        <f t="shared" si="1"/>
        <v/>
      </c>
      <c r="M18" s="43"/>
      <c r="N18" s="43"/>
    </row>
    <row r="19" spans="2:14" x14ac:dyDescent="0.25">
      <c r="B19" s="53"/>
      <c r="C19" s="15"/>
      <c r="D19" s="15"/>
      <c r="E19" s="23"/>
      <c r="F19" s="24"/>
      <c r="G19" s="43" t="s">
        <v>1556</v>
      </c>
      <c r="H19" s="26" t="str">
        <f t="shared" ref="H19:H47" si="2">IF(E19="","",F19*G19)</f>
        <v/>
      </c>
      <c r="I19" s="44"/>
      <c r="K19" s="17"/>
      <c r="L19" s="70" t="str">
        <f t="shared" si="1"/>
        <v/>
      </c>
      <c r="M19" s="43"/>
      <c r="N19" s="43"/>
    </row>
    <row r="20" spans="2:14" x14ac:dyDescent="0.25">
      <c r="B20" s="53" t="s">
        <v>266</v>
      </c>
      <c r="C20" s="15" t="s">
        <v>267</v>
      </c>
      <c r="D20" s="15"/>
      <c r="E20" s="23"/>
      <c r="F20" s="24"/>
      <c r="G20" s="46" t="s">
        <v>1556</v>
      </c>
      <c r="H20" s="26" t="str">
        <f t="shared" si="2"/>
        <v/>
      </c>
      <c r="I20" s="44"/>
      <c r="K20" s="17"/>
      <c r="L20" s="70" t="str">
        <f t="shared" si="1"/>
        <v/>
      </c>
      <c r="M20" s="43"/>
      <c r="N20" s="43"/>
    </row>
    <row r="21" spans="2:14" x14ac:dyDescent="0.25">
      <c r="B21" s="53"/>
      <c r="C21" s="15"/>
      <c r="D21" s="15"/>
      <c r="E21" s="23"/>
      <c r="F21" s="24"/>
      <c r="G21" s="43" t="s">
        <v>1556</v>
      </c>
      <c r="H21" s="26" t="str">
        <f t="shared" si="2"/>
        <v/>
      </c>
      <c r="I21" s="47"/>
      <c r="K21" s="17"/>
      <c r="L21" s="70" t="str">
        <f t="shared" si="1"/>
        <v/>
      </c>
      <c r="M21" s="43"/>
      <c r="N21" s="43"/>
    </row>
    <row r="22" spans="2:14" ht="26.4" x14ac:dyDescent="0.25">
      <c r="B22" s="53" t="s">
        <v>268</v>
      </c>
      <c r="C22" s="15" t="s">
        <v>1518</v>
      </c>
      <c r="D22" s="15"/>
      <c r="E22" s="23" t="s">
        <v>32</v>
      </c>
      <c r="F22" s="24">
        <v>1</v>
      </c>
      <c r="G22" s="48">
        <v>10500</v>
      </c>
      <c r="H22" s="26">
        <f t="shared" si="2"/>
        <v>10500</v>
      </c>
      <c r="K22" s="447">
        <v>1852</v>
      </c>
      <c r="L22" s="70">
        <f t="shared" si="1"/>
        <v>1852</v>
      </c>
      <c r="M22" s="43"/>
      <c r="N22" s="43"/>
    </row>
    <row r="23" spans="2:14" x14ac:dyDescent="0.25">
      <c r="B23" s="53"/>
      <c r="C23" s="15"/>
      <c r="D23" s="15"/>
      <c r="E23" s="23"/>
      <c r="F23" s="24"/>
      <c r="G23" s="48" t="s">
        <v>1556</v>
      </c>
      <c r="H23" s="26" t="str">
        <f t="shared" si="2"/>
        <v/>
      </c>
      <c r="K23" s="17"/>
      <c r="L23" s="70" t="str">
        <f t="shared" si="1"/>
        <v/>
      </c>
      <c r="M23" s="43"/>
      <c r="N23" s="43"/>
    </row>
    <row r="24" spans="2:14" ht="27.75" customHeight="1" x14ac:dyDescent="0.25">
      <c r="B24" s="53" t="s">
        <v>269</v>
      </c>
      <c r="C24" s="15" t="s">
        <v>1519</v>
      </c>
      <c r="D24" s="23" t="s">
        <v>1602</v>
      </c>
      <c r="E24" s="23" t="s">
        <v>32</v>
      </c>
      <c r="F24" s="24">
        <v>3</v>
      </c>
      <c r="G24" s="48">
        <v>15750</v>
      </c>
      <c r="H24" s="26">
        <f t="shared" si="2"/>
        <v>47250</v>
      </c>
      <c r="K24" s="447">
        <v>7408</v>
      </c>
      <c r="L24" s="70">
        <f t="shared" si="1"/>
        <v>22224</v>
      </c>
      <c r="M24" s="43"/>
      <c r="N24" s="43"/>
    </row>
    <row r="25" spans="2:14" x14ac:dyDescent="0.25">
      <c r="B25" s="53"/>
      <c r="C25" s="15"/>
      <c r="D25" s="15"/>
      <c r="E25" s="23"/>
      <c r="F25" s="24"/>
      <c r="G25" s="48" t="s">
        <v>1556</v>
      </c>
      <c r="H25" s="26" t="str">
        <f t="shared" si="2"/>
        <v/>
      </c>
      <c r="K25" s="43"/>
      <c r="L25" s="48"/>
      <c r="M25" s="43"/>
      <c r="N25" s="43"/>
    </row>
    <row r="26" spans="2:14" ht="14.25" customHeight="1" x14ac:dyDescent="0.25">
      <c r="B26" s="53" t="s">
        <v>1081</v>
      </c>
      <c r="C26" s="29" t="s">
        <v>271</v>
      </c>
      <c r="D26" s="147"/>
      <c r="E26" s="23"/>
      <c r="F26" s="24"/>
      <c r="G26" s="48" t="s">
        <v>1556</v>
      </c>
      <c r="H26" s="26" t="str">
        <f t="shared" si="2"/>
        <v/>
      </c>
      <c r="K26" s="43"/>
      <c r="L26" s="48" t="str">
        <f t="shared" si="1"/>
        <v/>
      </c>
      <c r="M26" s="43"/>
      <c r="N26" s="43"/>
    </row>
    <row r="27" spans="2:14" x14ac:dyDescent="0.25">
      <c r="B27" s="53"/>
      <c r="C27" s="15"/>
      <c r="D27" s="15"/>
      <c r="E27" s="23"/>
      <c r="F27" s="24"/>
      <c r="G27" s="43" t="s">
        <v>1556</v>
      </c>
      <c r="H27" s="26" t="str">
        <f t="shared" si="2"/>
        <v/>
      </c>
      <c r="I27" s="44"/>
      <c r="K27" s="43"/>
      <c r="L27" s="48" t="str">
        <f t="shared" si="1"/>
        <v/>
      </c>
      <c r="M27" s="43"/>
      <c r="N27" s="43"/>
    </row>
    <row r="28" spans="2:14" ht="26.4" x14ac:dyDescent="0.2">
      <c r="B28" s="53" t="s">
        <v>270</v>
      </c>
      <c r="C28" s="15" t="s">
        <v>272</v>
      </c>
      <c r="D28" s="23" t="s">
        <v>1602</v>
      </c>
      <c r="E28" s="23" t="s">
        <v>44</v>
      </c>
      <c r="F28" s="24">
        <v>5</v>
      </c>
      <c r="G28" s="43">
        <v>2100</v>
      </c>
      <c r="H28" s="26">
        <f t="shared" si="2"/>
        <v>10500</v>
      </c>
      <c r="I28" s="44"/>
      <c r="K28" s="447">
        <f>ROUND(2*_LabourDaily,2)</f>
        <v>637.12</v>
      </c>
      <c r="L28" s="48">
        <f t="shared" si="1"/>
        <v>3185.6</v>
      </c>
      <c r="M28" s="43"/>
      <c r="N28" s="43"/>
    </row>
    <row r="29" spans="2:14" x14ac:dyDescent="0.25">
      <c r="B29" s="53"/>
      <c r="C29" s="15"/>
      <c r="D29" s="15"/>
      <c r="E29" s="23"/>
      <c r="F29" s="24"/>
      <c r="G29" s="43" t="s">
        <v>1556</v>
      </c>
      <c r="H29" s="26" t="str">
        <f t="shared" si="2"/>
        <v/>
      </c>
      <c r="I29" s="44"/>
      <c r="K29" s="43"/>
      <c r="L29" s="48" t="str">
        <f t="shared" si="1"/>
        <v/>
      </c>
      <c r="M29" s="43"/>
      <c r="N29" s="43"/>
    </row>
    <row r="30" spans="2:14" x14ac:dyDescent="0.2">
      <c r="B30" s="53" t="s">
        <v>273</v>
      </c>
      <c r="C30" s="15" t="s">
        <v>274</v>
      </c>
      <c r="D30" s="23" t="s">
        <v>1602</v>
      </c>
      <c r="E30" s="23" t="s">
        <v>44</v>
      </c>
      <c r="F30" s="24">
        <v>5</v>
      </c>
      <c r="G30" s="41">
        <v>2625</v>
      </c>
      <c r="H30" s="26">
        <f t="shared" si="2"/>
        <v>13125</v>
      </c>
      <c r="I30" s="45"/>
      <c r="K30" s="447">
        <f>ROUND(2*_LabourDaily,2)</f>
        <v>637.12</v>
      </c>
      <c r="L30" s="48">
        <f t="shared" si="1"/>
        <v>3185.6</v>
      </c>
      <c r="M30" s="43"/>
      <c r="N30" s="43"/>
    </row>
    <row r="31" spans="2:14" x14ac:dyDescent="0.25">
      <c r="B31" s="53"/>
      <c r="C31" s="15"/>
      <c r="D31" s="15"/>
      <c r="E31" s="23"/>
      <c r="F31" s="24"/>
      <c r="G31" s="41" t="s">
        <v>1556</v>
      </c>
      <c r="H31" s="26" t="str">
        <f t="shared" si="2"/>
        <v/>
      </c>
      <c r="I31" s="45"/>
      <c r="K31" s="43"/>
      <c r="L31" s="48"/>
      <c r="M31" s="43"/>
      <c r="N31" s="43"/>
    </row>
    <row r="32" spans="2:14" x14ac:dyDescent="0.25">
      <c r="B32" s="53" t="s">
        <v>275</v>
      </c>
      <c r="C32" s="15" t="s">
        <v>276</v>
      </c>
      <c r="D32" s="23" t="s">
        <v>1602</v>
      </c>
      <c r="E32" s="23" t="s">
        <v>32</v>
      </c>
      <c r="F32" s="23">
        <v>2</v>
      </c>
      <c r="G32" s="41">
        <v>15750</v>
      </c>
      <c r="H32" s="26">
        <f t="shared" si="2"/>
        <v>31500</v>
      </c>
      <c r="I32" s="44"/>
      <c r="K32" s="447">
        <v>7408</v>
      </c>
      <c r="L32" s="70">
        <f>IF(K32="","",K32*F32)</f>
        <v>14816</v>
      </c>
      <c r="M32" s="43"/>
      <c r="N32" s="43"/>
    </row>
    <row r="33" spans="2:14" x14ac:dyDescent="0.25">
      <c r="B33" s="53"/>
      <c r="C33" s="15"/>
      <c r="D33" s="15"/>
      <c r="E33" s="23"/>
      <c r="F33" s="23"/>
      <c r="G33" s="41" t="s">
        <v>1556</v>
      </c>
      <c r="H33" s="26" t="str">
        <f t="shared" si="2"/>
        <v/>
      </c>
      <c r="I33" s="44"/>
      <c r="K33" s="43"/>
      <c r="L33" s="48"/>
      <c r="M33" s="43"/>
      <c r="N33" s="43"/>
    </row>
    <row r="34" spans="2:14" x14ac:dyDescent="0.25">
      <c r="B34" s="14" t="s">
        <v>277</v>
      </c>
      <c r="C34" s="15" t="s">
        <v>278</v>
      </c>
      <c r="D34" s="15"/>
      <c r="E34" s="23"/>
      <c r="F34" s="23"/>
      <c r="G34" s="41" t="s">
        <v>1556</v>
      </c>
      <c r="H34" s="26" t="str">
        <f>IF(E34="","",F34*G34)</f>
        <v/>
      </c>
      <c r="I34" s="44"/>
      <c r="K34" s="43"/>
      <c r="L34" s="48" t="str">
        <f t="shared" si="1"/>
        <v/>
      </c>
      <c r="M34" s="43"/>
      <c r="N34" s="43"/>
    </row>
    <row r="35" spans="2:14" x14ac:dyDescent="0.25">
      <c r="B35" s="14"/>
      <c r="C35" s="15"/>
      <c r="D35" s="15"/>
      <c r="E35" s="23"/>
      <c r="F35" s="23"/>
      <c r="G35" s="41" t="s">
        <v>1556</v>
      </c>
      <c r="H35" s="26" t="str">
        <f>IF(E35="","",F35*G35)</f>
        <v/>
      </c>
      <c r="I35" s="44"/>
      <c r="K35" s="43"/>
      <c r="L35" s="48" t="str">
        <f t="shared" si="1"/>
        <v/>
      </c>
      <c r="M35" s="43"/>
      <c r="N35" s="43"/>
    </row>
    <row r="36" spans="2:14" ht="15.6" x14ac:dyDescent="0.25">
      <c r="B36" s="14" t="s">
        <v>279</v>
      </c>
      <c r="C36" s="15" t="s">
        <v>1552</v>
      </c>
      <c r="D36" s="15"/>
      <c r="E36" s="23" t="s">
        <v>34</v>
      </c>
      <c r="F36" s="23">
        <v>2300</v>
      </c>
      <c r="G36" s="41">
        <v>35</v>
      </c>
      <c r="H36" s="26">
        <f>IF(E36="","",F36*G36)</f>
        <v>80500</v>
      </c>
      <c r="I36" s="44"/>
      <c r="K36" s="447"/>
      <c r="L36" s="70"/>
      <c r="M36" s="43"/>
      <c r="N36" s="43"/>
    </row>
    <row r="37" spans="2:14" x14ac:dyDescent="0.25">
      <c r="B37" s="14"/>
      <c r="C37" s="15"/>
      <c r="D37" s="15"/>
      <c r="E37" s="23"/>
      <c r="F37" s="23"/>
      <c r="G37" s="41" t="s">
        <v>1556</v>
      </c>
      <c r="H37" s="26" t="str">
        <f>IF(E37="","",F37*G37)</f>
        <v/>
      </c>
      <c r="I37" s="44"/>
      <c r="K37" s="43"/>
      <c r="L37" s="48" t="str">
        <f t="shared" si="1"/>
        <v/>
      </c>
      <c r="M37" s="43"/>
      <c r="N37" s="43"/>
    </row>
    <row r="38" spans="2:14" ht="15.6" x14ac:dyDescent="0.25">
      <c r="B38" s="14" t="s">
        <v>280</v>
      </c>
      <c r="C38" s="29" t="s">
        <v>281</v>
      </c>
      <c r="D38" s="147"/>
      <c r="E38" s="23" t="s">
        <v>34</v>
      </c>
      <c r="F38" s="23">
        <v>2300</v>
      </c>
      <c r="G38" s="41">
        <v>17</v>
      </c>
      <c r="H38" s="26">
        <f>IF(E38="","",F38*G38)</f>
        <v>39100</v>
      </c>
      <c r="I38" s="44"/>
      <c r="K38" s="43"/>
      <c r="L38" s="48" t="str">
        <f t="shared" si="1"/>
        <v/>
      </c>
      <c r="M38" s="43"/>
      <c r="N38" s="43"/>
    </row>
    <row r="39" spans="2:14" x14ac:dyDescent="0.25">
      <c r="B39" s="53"/>
      <c r="C39" s="15"/>
      <c r="D39" s="15"/>
      <c r="E39" s="23"/>
      <c r="F39" s="23"/>
      <c r="G39" s="41" t="s">
        <v>1556</v>
      </c>
      <c r="H39" s="26"/>
      <c r="I39" s="44"/>
      <c r="K39" s="43"/>
      <c r="L39" s="48" t="str">
        <f t="shared" si="1"/>
        <v/>
      </c>
      <c r="M39" s="43"/>
      <c r="N39" s="43"/>
    </row>
    <row r="40" spans="2:14" x14ac:dyDescent="0.25">
      <c r="B40" s="53"/>
      <c r="C40" s="15"/>
      <c r="D40" s="15"/>
      <c r="E40" s="23"/>
      <c r="F40" s="23"/>
      <c r="G40" s="41"/>
      <c r="H40" s="26"/>
      <c r="I40" s="44"/>
      <c r="K40" s="43"/>
      <c r="L40" s="48" t="str">
        <f t="shared" si="1"/>
        <v/>
      </c>
      <c r="M40" s="43"/>
      <c r="N40" s="43"/>
    </row>
    <row r="41" spans="2:14" x14ac:dyDescent="0.25">
      <c r="B41" s="53"/>
      <c r="C41" s="15"/>
      <c r="D41" s="15"/>
      <c r="E41" s="23"/>
      <c r="F41" s="23"/>
      <c r="G41" s="41"/>
      <c r="H41" s="26"/>
      <c r="I41" s="44"/>
      <c r="K41" s="43"/>
      <c r="L41" s="48" t="str">
        <f t="shared" si="1"/>
        <v/>
      </c>
      <c r="M41" s="43"/>
      <c r="N41" s="43"/>
    </row>
    <row r="42" spans="2:14" x14ac:dyDescent="0.25">
      <c r="B42" s="53"/>
      <c r="C42" s="15"/>
      <c r="D42" s="15"/>
      <c r="E42" s="23"/>
      <c r="F42" s="23"/>
      <c r="G42" s="41"/>
      <c r="H42" s="26"/>
      <c r="I42" s="44"/>
      <c r="K42" s="43"/>
      <c r="L42" s="48" t="str">
        <f t="shared" si="1"/>
        <v/>
      </c>
      <c r="M42" s="43"/>
      <c r="N42" s="43"/>
    </row>
    <row r="43" spans="2:14" x14ac:dyDescent="0.25">
      <c r="B43" s="53"/>
      <c r="C43" s="15"/>
      <c r="D43" s="15"/>
      <c r="E43" s="23"/>
      <c r="F43" s="23"/>
      <c r="G43" s="41"/>
      <c r="H43" s="26"/>
      <c r="I43" s="44"/>
      <c r="K43" s="43"/>
      <c r="L43" s="48" t="str">
        <f t="shared" si="1"/>
        <v/>
      </c>
      <c r="M43" s="43"/>
      <c r="N43" s="43"/>
    </row>
    <row r="44" spans="2:14" x14ac:dyDescent="0.25">
      <c r="B44" s="53"/>
      <c r="C44" s="15"/>
      <c r="D44" s="15"/>
      <c r="E44" s="23"/>
      <c r="F44" s="23"/>
      <c r="G44" s="51"/>
      <c r="H44" s="26"/>
      <c r="I44" s="44"/>
      <c r="K44" s="43"/>
      <c r="L44" s="48" t="str">
        <f t="shared" si="1"/>
        <v/>
      </c>
      <c r="M44" s="43"/>
      <c r="N44" s="43"/>
    </row>
    <row r="45" spans="2:14" x14ac:dyDescent="0.25">
      <c r="B45" s="53"/>
      <c r="C45" s="15"/>
      <c r="D45" s="15"/>
      <c r="E45" s="23"/>
      <c r="F45" s="23"/>
      <c r="G45" s="51"/>
      <c r="H45" s="26"/>
      <c r="I45" s="44"/>
      <c r="K45" s="43"/>
      <c r="L45" s="48" t="str">
        <f t="shared" si="1"/>
        <v/>
      </c>
      <c r="M45" s="43"/>
      <c r="N45" s="43"/>
    </row>
    <row r="46" spans="2:14" x14ac:dyDescent="0.25">
      <c r="B46" s="53"/>
      <c r="C46" s="15"/>
      <c r="D46" s="15"/>
      <c r="E46" s="23"/>
      <c r="F46" s="23"/>
      <c r="G46" s="51"/>
      <c r="H46" s="26"/>
      <c r="I46" s="44"/>
    </row>
    <row r="47" spans="2:14" x14ac:dyDescent="0.25">
      <c r="B47" s="53"/>
      <c r="C47" s="15"/>
      <c r="D47" s="15"/>
      <c r="E47" s="23"/>
      <c r="F47" s="23"/>
      <c r="G47" s="51"/>
      <c r="H47" s="26" t="str">
        <f t="shared" si="2"/>
        <v/>
      </c>
      <c r="I47" s="44"/>
    </row>
    <row r="48" spans="2:14" s="31" customFormat="1" ht="20.100000000000001" customHeight="1" x14ac:dyDescent="0.25">
      <c r="B48" s="87" t="str">
        <f>$B$11</f>
        <v>C1.6</v>
      </c>
      <c r="C48" s="33" t="s">
        <v>957</v>
      </c>
      <c r="D48" s="33"/>
      <c r="E48" s="34"/>
      <c r="F48" s="35"/>
      <c r="G48" s="34"/>
      <c r="H48" s="36">
        <f>SUM(H10:H47)</f>
        <v>274475</v>
      </c>
      <c r="I48" s="37"/>
      <c r="L48" s="36">
        <f>SUM(L10:L47)</f>
        <v>71191.199999999997</v>
      </c>
    </row>
  </sheetData>
  <mergeCells count="4">
    <mergeCell ref="F2:H2"/>
    <mergeCell ref="B6:G8"/>
    <mergeCell ref="H5:H8"/>
    <mergeCell ref="B5:G5"/>
  </mergeCells>
  <phoneticPr fontId="14" type="noConversion"/>
  <printOptions horizontalCentered="1"/>
  <pageMargins left="0.43307086614173229" right="0.31496062992125984" top="0.43307086614173229" bottom="0.62992125984251968" header="0.35433070866141736" footer="0.31496062992125984"/>
  <pageSetup paperSize="9" scale="78" firstPageNumber="179"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3D892-DDC2-4131-B915-F4D1DA869712}">
  <sheetPr codeName="Sheet8">
    <tabColor rgb="FF92D050"/>
  </sheetPr>
  <dimension ref="B1:P114"/>
  <sheetViews>
    <sheetView view="pageBreakPreview" topLeftCell="A79" zoomScale="115" zoomScaleNormal="125" zoomScaleSheetLayoutView="115" zoomScalePageLayoutView="125" workbookViewId="0">
      <selection activeCell="L25" sqref="L25"/>
    </sheetView>
  </sheetViews>
  <sheetFormatPr defaultColWidth="6.6640625" defaultRowHeight="13.2" x14ac:dyDescent="0.25"/>
  <cols>
    <col min="1" max="1" width="0.6640625" style="1" customWidth="1"/>
    <col min="2" max="2" width="11.5546875" style="38" customWidth="1"/>
    <col min="3" max="3" width="45.5546875" style="3" customWidth="1"/>
    <col min="4" max="4" width="4.3320312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0" width="6.6640625" style="1"/>
    <col min="11" max="11" width="7.6640625" style="1" bestFit="1" customWidth="1"/>
    <col min="12" max="12" width="11.6640625" style="1" bestFit="1" customWidth="1"/>
    <col min="13" max="16384" width="6.6640625" style="1"/>
  </cols>
  <sheetData>
    <row r="1" spans="2:14" x14ac:dyDescent="0.25">
      <c r="H1" s="234">
        <f>MAX(H9:H500)</f>
        <v>2457574</v>
      </c>
    </row>
    <row r="2" spans="2:14" x14ac:dyDescent="0.25">
      <c r="B2" s="2" t="str">
        <f>Client1</f>
        <v>Province of KwaZulu-Natal</v>
      </c>
      <c r="F2" s="510" t="str">
        <f>"Contract No. "&amp;ContractNo</f>
        <v>Contract No. ZNB02215/00000/00/HOD/INF/23/T</v>
      </c>
      <c r="G2" s="510"/>
      <c r="H2" s="510"/>
      <c r="K2" s="402"/>
      <c r="L2" s="402">
        <f>MAX(L3:L245)</f>
        <v>402000</v>
      </c>
      <c r="M2" s="402"/>
      <c r="N2" s="403"/>
    </row>
    <row r="3" spans="2:14" x14ac:dyDescent="0.25">
      <c r="B3" s="96" t="str">
        <f>Client2</f>
        <v>Department of Transport</v>
      </c>
      <c r="K3" s="1" t="s">
        <v>1421</v>
      </c>
      <c r="L3" s="1" t="s">
        <v>1422</v>
      </c>
      <c r="M3" s="1" t="s">
        <v>1423</v>
      </c>
      <c r="N3" s="1" t="s">
        <v>1424</v>
      </c>
    </row>
    <row r="4" spans="2:14" x14ac:dyDescent="0.25">
      <c r="B4" s="84"/>
      <c r="C4" s="84"/>
      <c r="D4" s="84"/>
      <c r="E4" s="85"/>
      <c r="F4" s="85"/>
      <c r="G4" s="86"/>
      <c r="H4" s="98"/>
      <c r="K4" s="86"/>
      <c r="L4" s="86"/>
      <c r="M4" s="86"/>
      <c r="N4" s="86"/>
    </row>
    <row r="5" spans="2:14" x14ac:dyDescent="0.25">
      <c r="B5" s="507" t="s">
        <v>8</v>
      </c>
      <c r="C5" s="508"/>
      <c r="D5" s="508"/>
      <c r="E5" s="508"/>
      <c r="F5" s="508"/>
      <c r="G5" s="508"/>
      <c r="H5" s="519" t="str">
        <f>"CHAPTER "&amp;B11</f>
        <v>CHAPTER C3.1</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20"/>
      <c r="I6" s="9"/>
    </row>
    <row r="7" spans="2:14" ht="12.75" customHeight="1" x14ac:dyDescent="0.25">
      <c r="B7" s="500"/>
      <c r="C7" s="501"/>
      <c r="D7" s="501"/>
      <c r="E7" s="501"/>
      <c r="F7" s="501"/>
      <c r="G7" s="501"/>
      <c r="H7" s="520"/>
      <c r="I7" s="9"/>
    </row>
    <row r="8" spans="2:14" ht="7.5" customHeight="1" x14ac:dyDescent="0.25">
      <c r="B8" s="502"/>
      <c r="C8" s="503"/>
      <c r="D8" s="503"/>
      <c r="E8" s="503"/>
      <c r="F8" s="503"/>
      <c r="G8" s="503"/>
      <c r="H8" s="521"/>
      <c r="I8" s="9"/>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53"/>
      <c r="C10" s="15"/>
      <c r="D10" s="15"/>
      <c r="E10" s="16"/>
      <c r="F10" s="16"/>
      <c r="G10" s="17"/>
      <c r="H10" s="26" t="str">
        <f t="shared" ref="H10:H49" si="0">IF(E10="","",F10*G10)</f>
        <v/>
      </c>
      <c r="I10" s="19"/>
      <c r="K10" s="17"/>
      <c r="L10" s="17"/>
      <c r="M10" s="17"/>
      <c r="N10" s="17"/>
    </row>
    <row r="11" spans="2:14" x14ac:dyDescent="0.25">
      <c r="B11" s="80" t="s">
        <v>541</v>
      </c>
      <c r="C11" s="21" t="s">
        <v>540</v>
      </c>
      <c r="D11" s="21"/>
      <c r="E11" s="16"/>
      <c r="F11" s="16"/>
      <c r="G11" s="17"/>
      <c r="H11" s="26" t="str">
        <f t="shared" si="0"/>
        <v/>
      </c>
      <c r="I11" s="19"/>
      <c r="K11" s="43"/>
      <c r="L11" s="43"/>
      <c r="M11" s="43"/>
      <c r="N11" s="43"/>
    </row>
    <row r="12" spans="2:14" x14ac:dyDescent="0.25">
      <c r="B12" s="53"/>
      <c r="C12" s="15"/>
      <c r="D12" s="15"/>
      <c r="E12" s="16"/>
      <c r="F12" s="16"/>
      <c r="G12" s="17"/>
      <c r="H12" s="26" t="str">
        <f t="shared" si="0"/>
        <v/>
      </c>
      <c r="I12" s="19"/>
      <c r="K12" s="43"/>
      <c r="L12" s="43"/>
      <c r="M12" s="43"/>
      <c r="N12" s="43"/>
    </row>
    <row r="13" spans="2:14" x14ac:dyDescent="0.25">
      <c r="B13" s="66" t="s">
        <v>539</v>
      </c>
      <c r="C13" s="15" t="s">
        <v>538</v>
      </c>
      <c r="D13" s="15"/>
      <c r="E13" s="16"/>
      <c r="F13" s="16"/>
      <c r="G13" s="17"/>
      <c r="H13" s="26" t="str">
        <f t="shared" si="0"/>
        <v/>
      </c>
      <c r="I13" s="19"/>
      <c r="K13" s="25"/>
      <c r="L13" s="48" t="str">
        <f t="shared" ref="L13:L46" si="1">IF(K13="","",K13*F13)</f>
        <v/>
      </c>
      <c r="M13" s="25"/>
      <c r="N13" s="25"/>
    </row>
    <row r="14" spans="2:14" x14ac:dyDescent="0.25">
      <c r="B14" s="66"/>
      <c r="C14" s="15"/>
      <c r="D14" s="15"/>
      <c r="E14" s="16"/>
      <c r="F14" s="16"/>
      <c r="G14" s="17"/>
      <c r="H14" s="26" t="str">
        <f t="shared" si="0"/>
        <v/>
      </c>
      <c r="I14" s="19"/>
      <c r="K14" s="43"/>
      <c r="L14" s="48" t="str">
        <f t="shared" si="1"/>
        <v/>
      </c>
      <c r="M14" s="43"/>
      <c r="N14" s="43"/>
    </row>
    <row r="15" spans="2:14" ht="39.6" x14ac:dyDescent="0.25">
      <c r="B15" s="53" t="s">
        <v>537</v>
      </c>
      <c r="C15" s="15" t="s">
        <v>536</v>
      </c>
      <c r="D15" s="23"/>
      <c r="E15" s="23"/>
      <c r="F15" s="24"/>
      <c r="G15" s="25"/>
      <c r="H15" s="26" t="str">
        <f t="shared" si="0"/>
        <v/>
      </c>
      <c r="I15" s="65"/>
      <c r="K15" s="43"/>
      <c r="L15" s="48" t="str">
        <f t="shared" si="1"/>
        <v/>
      </c>
      <c r="M15" s="43"/>
      <c r="N15" s="43"/>
    </row>
    <row r="16" spans="2:14" x14ac:dyDescent="0.25">
      <c r="B16" s="66"/>
      <c r="C16" s="15"/>
      <c r="D16" s="15"/>
      <c r="E16" s="16"/>
      <c r="F16" s="27"/>
      <c r="G16" s="70"/>
      <c r="H16" s="26" t="str">
        <f t="shared" si="0"/>
        <v/>
      </c>
      <c r="I16" s="19"/>
      <c r="K16" s="43"/>
      <c r="L16" s="48" t="str">
        <f t="shared" si="1"/>
        <v/>
      </c>
      <c r="M16" s="43"/>
      <c r="N16" s="43"/>
    </row>
    <row r="17" spans="2:14" ht="15.6" x14ac:dyDescent="0.25">
      <c r="B17" s="66" t="s">
        <v>49</v>
      </c>
      <c r="C17" s="15" t="s">
        <v>521</v>
      </c>
      <c r="D17" s="23" t="s">
        <v>1602</v>
      </c>
      <c r="E17" s="23" t="s">
        <v>34</v>
      </c>
      <c r="F17" s="27">
        <v>4000</v>
      </c>
      <c r="G17" s="70">
        <v>95</v>
      </c>
      <c r="H17" s="26">
        <f t="shared" si="0"/>
        <v>380000</v>
      </c>
      <c r="I17" s="19"/>
      <c r="K17" s="43">
        <f>G17*5%</f>
        <v>4.75</v>
      </c>
      <c r="L17" s="48">
        <f t="shared" si="1"/>
        <v>19000</v>
      </c>
      <c r="M17" s="43"/>
      <c r="N17" s="43"/>
    </row>
    <row r="18" spans="2:14" x14ac:dyDescent="0.25">
      <c r="B18" s="66"/>
      <c r="C18" s="15"/>
      <c r="D18" s="15"/>
      <c r="E18" s="16"/>
      <c r="F18" s="27"/>
      <c r="G18" s="70" t="s">
        <v>1556</v>
      </c>
      <c r="H18" s="26" t="str">
        <f t="shared" si="0"/>
        <v/>
      </c>
      <c r="I18" s="68"/>
      <c r="K18" s="43"/>
      <c r="L18" s="48" t="str">
        <f t="shared" si="1"/>
        <v/>
      </c>
      <c r="M18" s="43"/>
      <c r="N18" s="43"/>
    </row>
    <row r="19" spans="2:14" ht="15.6" x14ac:dyDescent="0.25">
      <c r="B19" s="66" t="s">
        <v>51</v>
      </c>
      <c r="C19" s="29" t="s">
        <v>520</v>
      </c>
      <c r="D19" s="147"/>
      <c r="E19" s="23" t="s">
        <v>34</v>
      </c>
      <c r="F19" s="27">
        <v>10</v>
      </c>
      <c r="G19" s="70">
        <v>100</v>
      </c>
      <c r="H19" s="26">
        <f t="shared" si="0"/>
        <v>1000</v>
      </c>
      <c r="I19" s="71"/>
      <c r="K19" s="43">
        <f>G19*5%</f>
        <v>5</v>
      </c>
      <c r="L19" s="48">
        <f t="shared" si="1"/>
        <v>50</v>
      </c>
      <c r="M19" s="43"/>
      <c r="N19" s="43"/>
    </row>
    <row r="20" spans="2:14" x14ac:dyDescent="0.25">
      <c r="B20" s="66"/>
      <c r="C20" s="28"/>
      <c r="D20" s="146"/>
      <c r="E20" s="69"/>
      <c r="F20" s="27"/>
      <c r="G20" s="70" t="s">
        <v>1556</v>
      </c>
      <c r="H20" s="26" t="str">
        <f t="shared" si="0"/>
        <v/>
      </c>
      <c r="I20" s="71"/>
      <c r="K20" s="43"/>
      <c r="L20" s="48" t="str">
        <f t="shared" si="1"/>
        <v/>
      </c>
      <c r="M20" s="43"/>
      <c r="N20" s="43"/>
    </row>
    <row r="21" spans="2:14" ht="26.4" x14ac:dyDescent="0.25">
      <c r="B21" s="66" t="s">
        <v>535</v>
      </c>
      <c r="C21" s="29" t="s">
        <v>534</v>
      </c>
      <c r="D21" s="147"/>
      <c r="E21" s="23" t="s">
        <v>34</v>
      </c>
      <c r="F21" s="27">
        <v>566</v>
      </c>
      <c r="G21" s="70">
        <v>578</v>
      </c>
      <c r="H21" s="26">
        <f t="shared" si="0"/>
        <v>327148</v>
      </c>
      <c r="I21" s="71"/>
      <c r="K21" s="43"/>
      <c r="L21" s="48" t="str">
        <f t="shared" si="1"/>
        <v/>
      </c>
      <c r="M21" s="43"/>
      <c r="N21" s="43"/>
    </row>
    <row r="22" spans="2:14" x14ac:dyDescent="0.25">
      <c r="B22" s="66"/>
      <c r="C22" s="28"/>
      <c r="D22" s="146"/>
      <c r="E22" s="69"/>
      <c r="F22" s="27"/>
      <c r="G22" s="70" t="s">
        <v>1556</v>
      </c>
      <c r="H22" s="26" t="str">
        <f t="shared" si="0"/>
        <v/>
      </c>
      <c r="I22" s="71"/>
      <c r="K22" s="43"/>
      <c r="L22" s="48" t="str">
        <f t="shared" si="1"/>
        <v/>
      </c>
      <c r="M22" s="43"/>
      <c r="N22" s="43"/>
    </row>
    <row r="23" spans="2:14" ht="26.4" x14ac:dyDescent="0.25">
      <c r="B23" s="66" t="s">
        <v>533</v>
      </c>
      <c r="C23" s="15" t="s">
        <v>1553</v>
      </c>
      <c r="D23" s="15"/>
      <c r="E23" s="23" t="s">
        <v>34</v>
      </c>
      <c r="F23" s="27">
        <v>20</v>
      </c>
      <c r="G23" s="70">
        <v>263</v>
      </c>
      <c r="H23" s="26">
        <f t="shared" si="0"/>
        <v>5260</v>
      </c>
      <c r="I23" s="19"/>
      <c r="K23" s="43"/>
      <c r="L23" s="48" t="str">
        <f t="shared" si="1"/>
        <v/>
      </c>
      <c r="M23" s="43"/>
      <c r="N23" s="43"/>
    </row>
    <row r="24" spans="2:14" x14ac:dyDescent="0.25">
      <c r="B24" s="66"/>
      <c r="C24" s="15"/>
      <c r="D24" s="15"/>
      <c r="E24" s="16"/>
      <c r="F24" s="27"/>
      <c r="G24" s="70" t="s">
        <v>1556</v>
      </c>
      <c r="H24" s="26" t="str">
        <f t="shared" si="0"/>
        <v/>
      </c>
      <c r="I24" s="19"/>
      <c r="K24" s="43"/>
      <c r="L24" s="48" t="str">
        <f t="shared" si="1"/>
        <v/>
      </c>
      <c r="M24" s="43"/>
      <c r="N24" s="43"/>
    </row>
    <row r="25" spans="2:14" ht="39.6" x14ac:dyDescent="0.25">
      <c r="B25" s="66" t="s">
        <v>532</v>
      </c>
      <c r="C25" s="15" t="s">
        <v>531</v>
      </c>
      <c r="D25" s="23" t="s">
        <v>1602</v>
      </c>
      <c r="E25" s="23" t="s">
        <v>34</v>
      </c>
      <c r="F25" s="27">
        <v>3000</v>
      </c>
      <c r="G25" s="70">
        <v>263</v>
      </c>
      <c r="H25" s="26">
        <f t="shared" si="0"/>
        <v>789000</v>
      </c>
      <c r="I25" s="65"/>
      <c r="K25" s="43">
        <f>_Excavation</f>
        <v>134</v>
      </c>
      <c r="L25" s="48">
        <f t="shared" si="1"/>
        <v>402000</v>
      </c>
      <c r="M25" s="43"/>
      <c r="N25" s="43"/>
    </row>
    <row r="26" spans="2:14" x14ac:dyDescent="0.25">
      <c r="B26" s="66"/>
      <c r="C26" s="15"/>
      <c r="D26" s="15"/>
      <c r="E26" s="16"/>
      <c r="F26" s="27"/>
      <c r="G26" s="70" t="s">
        <v>1556</v>
      </c>
      <c r="H26" s="26" t="str">
        <f t="shared" si="0"/>
        <v/>
      </c>
      <c r="I26" s="19"/>
      <c r="K26" s="43"/>
      <c r="L26" s="48" t="str">
        <f t="shared" si="1"/>
        <v/>
      </c>
      <c r="M26" s="43"/>
      <c r="N26" s="43"/>
    </row>
    <row r="27" spans="2:14" ht="39.6" x14ac:dyDescent="0.25">
      <c r="B27" s="66" t="s">
        <v>530</v>
      </c>
      <c r="C27" s="15" t="s">
        <v>529</v>
      </c>
      <c r="D27" s="23" t="s">
        <v>1602</v>
      </c>
      <c r="E27" s="23" t="s">
        <v>34</v>
      </c>
      <c r="F27" s="27">
        <v>500</v>
      </c>
      <c r="G27" s="70">
        <v>126</v>
      </c>
      <c r="H27" s="26">
        <f t="shared" si="0"/>
        <v>63000</v>
      </c>
      <c r="I27" s="19"/>
      <c r="K27" s="43">
        <f>_Excavation</f>
        <v>134</v>
      </c>
      <c r="L27" s="48">
        <f t="shared" si="1"/>
        <v>67000</v>
      </c>
      <c r="M27" s="43"/>
      <c r="N27" s="43"/>
    </row>
    <row r="28" spans="2:14" x14ac:dyDescent="0.25">
      <c r="B28" s="66"/>
      <c r="C28" s="15"/>
      <c r="D28" s="15"/>
      <c r="E28" s="16"/>
      <c r="F28" s="27"/>
      <c r="G28" s="70" t="s">
        <v>1556</v>
      </c>
      <c r="H28" s="26" t="str">
        <f t="shared" si="0"/>
        <v/>
      </c>
      <c r="I28" s="19"/>
      <c r="K28" s="43"/>
      <c r="L28" s="48" t="str">
        <f t="shared" si="1"/>
        <v/>
      </c>
      <c r="M28" s="43"/>
      <c r="N28" s="43"/>
    </row>
    <row r="29" spans="2:14" ht="26.4" x14ac:dyDescent="0.25">
      <c r="B29" s="66" t="s">
        <v>528</v>
      </c>
      <c r="C29" s="15" t="s">
        <v>1083</v>
      </c>
      <c r="D29" s="15"/>
      <c r="E29" s="16"/>
      <c r="F29" s="27"/>
      <c r="G29" s="70" t="s">
        <v>1556</v>
      </c>
      <c r="H29" s="26" t="str">
        <f t="shared" si="0"/>
        <v/>
      </c>
      <c r="I29" s="19"/>
      <c r="K29" s="43"/>
      <c r="L29" s="48" t="str">
        <f t="shared" si="1"/>
        <v/>
      </c>
      <c r="M29" s="43"/>
      <c r="N29" s="43"/>
    </row>
    <row r="30" spans="2:14" x14ac:dyDescent="0.25">
      <c r="B30" s="66"/>
      <c r="C30" s="15"/>
      <c r="D30" s="15"/>
      <c r="E30" s="16"/>
      <c r="F30" s="27"/>
      <c r="G30" s="70" t="s">
        <v>1556</v>
      </c>
      <c r="H30" s="26" t="str">
        <f t="shared" si="0"/>
        <v/>
      </c>
      <c r="I30" s="19"/>
      <c r="K30" s="43"/>
      <c r="L30" s="48" t="str">
        <f t="shared" si="1"/>
        <v/>
      </c>
      <c r="M30" s="43"/>
      <c r="N30" s="43"/>
    </row>
    <row r="31" spans="2:14" ht="15.6" x14ac:dyDescent="0.25">
      <c r="B31" s="53" t="s">
        <v>527</v>
      </c>
      <c r="C31" s="15" t="s">
        <v>526</v>
      </c>
      <c r="D31" s="15"/>
      <c r="E31" s="23" t="s">
        <v>34</v>
      </c>
      <c r="F31" s="27">
        <v>30</v>
      </c>
      <c r="G31" s="70">
        <v>131</v>
      </c>
      <c r="H31" s="26">
        <f t="shared" si="0"/>
        <v>3930</v>
      </c>
      <c r="I31" s="65"/>
      <c r="K31" s="43"/>
      <c r="L31" s="48" t="str">
        <f t="shared" si="1"/>
        <v/>
      </c>
      <c r="M31" s="43"/>
      <c r="N31" s="43"/>
    </row>
    <row r="32" spans="2:14" x14ac:dyDescent="0.25">
      <c r="B32" s="66"/>
      <c r="C32" s="15"/>
      <c r="D32" s="15"/>
      <c r="E32" s="16"/>
      <c r="F32" s="16"/>
      <c r="G32" s="70" t="s">
        <v>1556</v>
      </c>
      <c r="H32" s="26" t="str">
        <f t="shared" si="0"/>
        <v/>
      </c>
      <c r="I32" s="19"/>
      <c r="K32" s="43"/>
      <c r="L32" s="48" t="str">
        <f t="shared" si="1"/>
        <v/>
      </c>
      <c r="M32" s="43"/>
      <c r="N32" s="43"/>
    </row>
    <row r="33" spans="2:14" ht="30.6" customHeight="1" x14ac:dyDescent="0.25">
      <c r="B33" s="66" t="s">
        <v>525</v>
      </c>
      <c r="C33" s="15" t="s">
        <v>524</v>
      </c>
      <c r="D33" s="15"/>
      <c r="E33" s="16"/>
      <c r="F33" s="27"/>
      <c r="G33" s="17" t="s">
        <v>1556</v>
      </c>
      <c r="H33" s="26" t="str">
        <f t="shared" si="0"/>
        <v/>
      </c>
      <c r="I33" s="19"/>
      <c r="K33" s="43"/>
      <c r="L33" s="48" t="str">
        <f t="shared" si="1"/>
        <v/>
      </c>
      <c r="M33" s="43"/>
      <c r="N33" s="43"/>
    </row>
    <row r="34" spans="2:14" x14ac:dyDescent="0.25">
      <c r="B34" s="66"/>
      <c r="C34" s="29"/>
      <c r="D34" s="147"/>
      <c r="E34" s="69"/>
      <c r="F34" s="27"/>
      <c r="G34" s="70" t="s">
        <v>1556</v>
      </c>
      <c r="H34" s="26" t="str">
        <f t="shared" si="0"/>
        <v/>
      </c>
      <c r="I34" s="19"/>
      <c r="K34" s="43"/>
      <c r="L34" s="48" t="str">
        <f t="shared" si="1"/>
        <v/>
      </c>
      <c r="M34" s="43"/>
      <c r="N34" s="43"/>
    </row>
    <row r="35" spans="2:14" ht="26.4" x14ac:dyDescent="0.25">
      <c r="B35" s="66" t="s">
        <v>523</v>
      </c>
      <c r="C35" s="78" t="s">
        <v>522</v>
      </c>
      <c r="D35" s="210"/>
      <c r="E35" s="16"/>
      <c r="F35" s="27"/>
      <c r="G35" s="17" t="s">
        <v>1556</v>
      </c>
      <c r="H35" s="26" t="str">
        <f t="shared" si="0"/>
        <v/>
      </c>
      <c r="I35" s="19"/>
      <c r="K35" s="43"/>
      <c r="L35" s="48" t="str">
        <f t="shared" si="1"/>
        <v/>
      </c>
      <c r="M35" s="43"/>
      <c r="N35" s="43"/>
    </row>
    <row r="36" spans="2:14" x14ac:dyDescent="0.25">
      <c r="B36" s="66"/>
      <c r="C36" s="29"/>
      <c r="D36" s="147"/>
      <c r="E36" s="69"/>
      <c r="F36" s="27"/>
      <c r="G36" s="72" t="s">
        <v>1556</v>
      </c>
      <c r="H36" s="26" t="str">
        <f t="shared" si="0"/>
        <v/>
      </c>
      <c r="I36" s="19"/>
      <c r="K36" s="43"/>
      <c r="L36" s="48" t="str">
        <f t="shared" si="1"/>
        <v/>
      </c>
      <c r="M36" s="43"/>
      <c r="N36" s="43"/>
    </row>
    <row r="37" spans="2:14" ht="15.6" x14ac:dyDescent="0.25">
      <c r="B37" s="66" t="s">
        <v>49</v>
      </c>
      <c r="C37" s="28" t="s">
        <v>521</v>
      </c>
      <c r="D37" s="146"/>
      <c r="E37" s="23" t="s">
        <v>34</v>
      </c>
      <c r="F37" s="27">
        <v>5</v>
      </c>
      <c r="G37" s="70">
        <v>42</v>
      </c>
      <c r="H37" s="26">
        <f t="shared" si="0"/>
        <v>210</v>
      </c>
      <c r="I37" s="19"/>
      <c r="K37" s="43">
        <f>_Excavation</f>
        <v>134</v>
      </c>
      <c r="L37" s="48">
        <f t="shared" si="1"/>
        <v>670</v>
      </c>
      <c r="M37" s="43"/>
      <c r="N37" s="43"/>
    </row>
    <row r="38" spans="2:14" x14ac:dyDescent="0.25">
      <c r="B38" s="66"/>
      <c r="C38" s="29"/>
      <c r="D38" s="147"/>
      <c r="E38" s="69"/>
      <c r="F38" s="27"/>
      <c r="G38" s="67" t="s">
        <v>1556</v>
      </c>
      <c r="H38" s="26" t="str">
        <f t="shared" si="0"/>
        <v/>
      </c>
      <c r="I38" s="19"/>
      <c r="K38" s="43"/>
      <c r="L38" s="48" t="str">
        <f t="shared" si="1"/>
        <v/>
      </c>
      <c r="M38" s="43"/>
      <c r="N38" s="43"/>
    </row>
    <row r="39" spans="2:14" ht="15.6" x14ac:dyDescent="0.25">
      <c r="B39" s="66" t="s">
        <v>51</v>
      </c>
      <c r="C39" s="28" t="s">
        <v>520</v>
      </c>
      <c r="D39" s="146"/>
      <c r="E39" s="23" t="s">
        <v>34</v>
      </c>
      <c r="F39" s="27">
        <v>9</v>
      </c>
      <c r="G39" s="70">
        <v>89</v>
      </c>
      <c r="H39" s="26">
        <f t="shared" si="0"/>
        <v>801</v>
      </c>
      <c r="I39" s="19"/>
      <c r="K39" s="43">
        <f>_Excavation</f>
        <v>134</v>
      </c>
      <c r="L39" s="48">
        <f t="shared" si="1"/>
        <v>1206</v>
      </c>
      <c r="M39" s="43"/>
      <c r="N39" s="43"/>
    </row>
    <row r="40" spans="2:14" x14ac:dyDescent="0.25">
      <c r="B40" s="66"/>
      <c r="C40" s="15"/>
      <c r="D40" s="15"/>
      <c r="E40" s="16"/>
      <c r="F40" s="27"/>
      <c r="G40" s="17" t="s">
        <v>1556</v>
      </c>
      <c r="H40" s="26" t="str">
        <f t="shared" si="0"/>
        <v/>
      </c>
      <c r="I40" s="19"/>
      <c r="K40" s="43"/>
      <c r="L40" s="48" t="str">
        <f t="shared" si="1"/>
        <v/>
      </c>
      <c r="M40" s="43"/>
      <c r="N40" s="43"/>
    </row>
    <row r="41" spans="2:14" ht="15.6" x14ac:dyDescent="0.25">
      <c r="B41" s="66" t="s">
        <v>65</v>
      </c>
      <c r="C41" s="15" t="s">
        <v>519</v>
      </c>
      <c r="D41" s="15"/>
      <c r="E41" s="23" t="s">
        <v>34</v>
      </c>
      <c r="F41" s="27">
        <v>10</v>
      </c>
      <c r="G41" s="17">
        <v>105</v>
      </c>
      <c r="H41" s="26">
        <f t="shared" si="0"/>
        <v>1050</v>
      </c>
      <c r="I41" s="71"/>
      <c r="K41" s="43">
        <f>_Excavation</f>
        <v>134</v>
      </c>
      <c r="L41" s="48">
        <f t="shared" si="1"/>
        <v>1340</v>
      </c>
      <c r="M41" s="43"/>
      <c r="N41" s="43"/>
    </row>
    <row r="42" spans="2:14" x14ac:dyDescent="0.25">
      <c r="B42" s="66"/>
      <c r="C42" s="15"/>
      <c r="D42" s="15"/>
      <c r="E42" s="16"/>
      <c r="F42" s="27"/>
      <c r="G42" s="72" t="s">
        <v>1556</v>
      </c>
      <c r="H42" s="26" t="str">
        <f t="shared" si="0"/>
        <v/>
      </c>
      <c r="I42" s="19"/>
      <c r="K42" s="43"/>
      <c r="L42" s="48" t="str">
        <f t="shared" si="1"/>
        <v/>
      </c>
      <c r="M42" s="43"/>
      <c r="N42" s="43"/>
    </row>
    <row r="43" spans="2:14" ht="39.6" x14ac:dyDescent="0.25">
      <c r="B43" s="66" t="s">
        <v>518</v>
      </c>
      <c r="C43" s="15" t="s">
        <v>517</v>
      </c>
      <c r="D43" s="23" t="s">
        <v>1602</v>
      </c>
      <c r="E43" s="23" t="s">
        <v>34</v>
      </c>
      <c r="F43" s="27">
        <v>85</v>
      </c>
      <c r="G43" s="17">
        <v>100</v>
      </c>
      <c r="H43" s="26">
        <f>IF(E43="","",F43*G43)</f>
        <v>8500</v>
      </c>
      <c r="I43" s="77"/>
      <c r="K43" s="43">
        <f>_Excavation</f>
        <v>134</v>
      </c>
      <c r="L43" s="48">
        <f t="shared" si="1"/>
        <v>11390</v>
      </c>
      <c r="M43" s="43"/>
      <c r="N43" s="43"/>
    </row>
    <row r="44" spans="2:14" x14ac:dyDescent="0.25">
      <c r="B44" s="66"/>
      <c r="C44" s="15"/>
      <c r="D44" s="15"/>
      <c r="E44" s="16"/>
      <c r="F44" s="27"/>
      <c r="G44" s="17" t="s">
        <v>1556</v>
      </c>
      <c r="H44" s="26" t="str">
        <f t="shared" si="0"/>
        <v/>
      </c>
      <c r="I44" s="71"/>
      <c r="K44" s="43"/>
      <c r="L44" s="48" t="str">
        <f t="shared" si="1"/>
        <v/>
      </c>
      <c r="M44" s="43"/>
      <c r="N44" s="43"/>
    </row>
    <row r="45" spans="2:14" ht="39.6" x14ac:dyDescent="0.25">
      <c r="B45" s="66" t="s">
        <v>516</v>
      </c>
      <c r="C45" s="15" t="s">
        <v>515</v>
      </c>
      <c r="D45" s="23" t="s">
        <v>1602</v>
      </c>
      <c r="E45" s="23" t="s">
        <v>34</v>
      </c>
      <c r="F45" s="27">
        <v>15</v>
      </c>
      <c r="G45" s="17">
        <v>116</v>
      </c>
      <c r="H45" s="26">
        <f t="shared" si="0"/>
        <v>1740</v>
      </c>
      <c r="I45" s="19"/>
      <c r="K45" s="43">
        <f>_Excavation</f>
        <v>134</v>
      </c>
      <c r="L45" s="48">
        <f t="shared" si="1"/>
        <v>2010</v>
      </c>
      <c r="M45" s="43"/>
      <c r="N45" s="43"/>
    </row>
    <row r="46" spans="2:14" x14ac:dyDescent="0.25">
      <c r="B46" s="66"/>
      <c r="C46" s="15"/>
      <c r="D46" s="15"/>
      <c r="E46" s="16"/>
      <c r="F46" s="27"/>
      <c r="G46" s="17" t="s">
        <v>1556</v>
      </c>
      <c r="H46" s="26" t="str">
        <f t="shared" si="0"/>
        <v/>
      </c>
      <c r="I46" s="19"/>
      <c r="K46" s="43"/>
      <c r="L46" s="48" t="str">
        <f t="shared" si="1"/>
        <v/>
      </c>
      <c r="M46" s="43"/>
      <c r="N46" s="43"/>
    </row>
    <row r="47" spans="2:14" ht="26.4" x14ac:dyDescent="0.25">
      <c r="B47" s="66" t="s">
        <v>514</v>
      </c>
      <c r="C47" s="15" t="s">
        <v>513</v>
      </c>
      <c r="D47" s="15"/>
      <c r="E47" s="23" t="s">
        <v>34</v>
      </c>
      <c r="F47" s="27">
        <v>9</v>
      </c>
      <c r="G47" s="17">
        <v>142</v>
      </c>
      <c r="H47" s="26">
        <f t="shared" si="0"/>
        <v>1278</v>
      </c>
      <c r="I47" s="19"/>
      <c r="K47" s="43"/>
      <c r="L47" s="48" t="str">
        <f t="shared" ref="L47:L110" si="2">IF(K47="","",K47*F47)</f>
        <v/>
      </c>
      <c r="M47" s="43"/>
      <c r="N47" s="43"/>
    </row>
    <row r="48" spans="2:14" x14ac:dyDescent="0.25">
      <c r="B48" s="53"/>
      <c r="C48" s="15"/>
      <c r="D48" s="15"/>
      <c r="E48" s="23"/>
      <c r="F48" s="27"/>
      <c r="G48" s="17" t="s">
        <v>1556</v>
      </c>
      <c r="H48" s="26" t="str">
        <f t="shared" si="0"/>
        <v/>
      </c>
      <c r="I48" s="19"/>
      <c r="K48" s="43"/>
      <c r="L48" s="48" t="str">
        <f t="shared" si="2"/>
        <v/>
      </c>
      <c r="M48" s="43"/>
      <c r="N48" s="43"/>
    </row>
    <row r="49" spans="2:14" ht="26.4" x14ac:dyDescent="0.25">
      <c r="B49" s="66" t="s">
        <v>512</v>
      </c>
      <c r="C49" s="15" t="s">
        <v>511</v>
      </c>
      <c r="D49" s="15"/>
      <c r="E49" s="23" t="s">
        <v>34</v>
      </c>
      <c r="F49" s="27">
        <v>20</v>
      </c>
      <c r="G49" s="17">
        <v>263</v>
      </c>
      <c r="H49" s="26">
        <f t="shared" si="0"/>
        <v>5260</v>
      </c>
      <c r="I49" s="19"/>
      <c r="K49" s="43"/>
      <c r="L49" s="48" t="str">
        <f t="shared" si="2"/>
        <v/>
      </c>
      <c r="M49" s="43"/>
      <c r="N49" s="43"/>
    </row>
    <row r="50" spans="2:14" x14ac:dyDescent="0.25">
      <c r="B50" s="66"/>
      <c r="C50" s="15"/>
      <c r="D50" s="15"/>
      <c r="E50" s="23"/>
      <c r="F50" s="16"/>
      <c r="G50" s="17" t="s">
        <v>1556</v>
      </c>
      <c r="H50" s="26"/>
      <c r="I50" s="19"/>
      <c r="K50" s="43"/>
      <c r="L50" s="48" t="str">
        <f t="shared" si="2"/>
        <v/>
      </c>
      <c r="M50" s="43"/>
      <c r="N50" s="43"/>
    </row>
    <row r="51" spans="2:14" x14ac:dyDescent="0.25">
      <c r="B51" s="66" t="s">
        <v>510</v>
      </c>
      <c r="C51" s="15" t="s">
        <v>509</v>
      </c>
      <c r="D51" s="15"/>
      <c r="E51" s="16"/>
      <c r="F51" s="16"/>
      <c r="G51" s="17" t="s">
        <v>1556</v>
      </c>
      <c r="H51" s="26" t="str">
        <f t="shared" ref="H51:H56" si="3">IF(E51="","",F51*G51)</f>
        <v/>
      </c>
      <c r="K51" s="43"/>
      <c r="L51" s="48" t="str">
        <f t="shared" si="2"/>
        <v/>
      </c>
      <c r="M51" s="43"/>
      <c r="N51" s="43"/>
    </row>
    <row r="52" spans="2:14" x14ac:dyDescent="0.25">
      <c r="B52" s="66"/>
      <c r="C52" s="15"/>
      <c r="D52" s="15"/>
      <c r="E52" s="16"/>
      <c r="F52" s="16"/>
      <c r="G52" s="17" t="s">
        <v>1556</v>
      </c>
      <c r="H52" s="26" t="str">
        <f t="shared" si="3"/>
        <v/>
      </c>
      <c r="K52" s="43"/>
      <c r="L52" s="48" t="str">
        <f t="shared" si="2"/>
        <v/>
      </c>
      <c r="M52" s="43"/>
      <c r="N52" s="43"/>
    </row>
    <row r="53" spans="2:14" ht="26.4" x14ac:dyDescent="0.25">
      <c r="B53" s="66" t="s">
        <v>508</v>
      </c>
      <c r="C53" s="15" t="s">
        <v>507</v>
      </c>
      <c r="D53" s="23" t="s">
        <v>1602</v>
      </c>
      <c r="E53" s="23" t="s">
        <v>34</v>
      </c>
      <c r="F53" s="16">
        <v>85</v>
      </c>
      <c r="G53" s="17">
        <v>95</v>
      </c>
      <c r="H53" s="26">
        <f t="shared" si="3"/>
        <v>8075</v>
      </c>
      <c r="K53" s="43">
        <f>_Backfill</f>
        <v>45</v>
      </c>
      <c r="L53" s="48">
        <f t="shared" si="2"/>
        <v>3825</v>
      </c>
      <c r="M53" s="43"/>
      <c r="N53" s="43"/>
    </row>
    <row r="54" spans="2:14" x14ac:dyDescent="0.25">
      <c r="B54" s="66"/>
      <c r="C54" s="28"/>
      <c r="D54" s="146"/>
      <c r="E54" s="69"/>
      <c r="F54" s="69"/>
      <c r="G54" s="17" t="s">
        <v>1556</v>
      </c>
      <c r="H54" s="26" t="str">
        <f t="shared" si="3"/>
        <v/>
      </c>
      <c r="K54" s="43"/>
      <c r="L54" s="48" t="str">
        <f t="shared" si="2"/>
        <v/>
      </c>
      <c r="M54" s="43"/>
      <c r="N54" s="43"/>
    </row>
    <row r="55" spans="2:14" ht="15.6" x14ac:dyDescent="0.25">
      <c r="B55" s="66" t="s">
        <v>506</v>
      </c>
      <c r="C55" s="73" t="s">
        <v>505</v>
      </c>
      <c r="D55" s="23" t="s">
        <v>1602</v>
      </c>
      <c r="E55" s="23" t="s">
        <v>34</v>
      </c>
      <c r="F55" s="16">
        <v>10</v>
      </c>
      <c r="G55" s="17">
        <v>158</v>
      </c>
      <c r="H55" s="26">
        <f t="shared" si="3"/>
        <v>1580</v>
      </c>
      <c r="K55" s="43">
        <f>_Backfill</f>
        <v>45</v>
      </c>
      <c r="L55" s="48">
        <f t="shared" si="2"/>
        <v>450</v>
      </c>
      <c r="M55" s="43"/>
      <c r="N55" s="43"/>
    </row>
    <row r="56" spans="2:14" x14ac:dyDescent="0.25">
      <c r="B56" s="66"/>
      <c r="C56" s="15"/>
      <c r="D56" s="15"/>
      <c r="E56" s="16"/>
      <c r="F56" s="27"/>
      <c r="G56" s="67"/>
      <c r="H56" s="26" t="str">
        <f t="shared" si="3"/>
        <v/>
      </c>
      <c r="K56" s="43"/>
      <c r="L56" s="48" t="str">
        <f t="shared" si="2"/>
        <v/>
      </c>
      <c r="M56" s="43"/>
      <c r="N56" s="43"/>
    </row>
    <row r="57" spans="2:14" s="31" customFormat="1" ht="19.5" customHeight="1" x14ac:dyDescent="0.25">
      <c r="B57" s="151" t="str">
        <f>$B$11</f>
        <v>C3.1</v>
      </c>
      <c r="C57" s="33" t="s">
        <v>12</v>
      </c>
      <c r="D57" s="33"/>
      <c r="E57" s="34"/>
      <c r="F57" s="35"/>
      <c r="G57" s="34"/>
      <c r="H57" s="36">
        <f>SUM(H10:H56)</f>
        <v>1597832</v>
      </c>
      <c r="I57" s="37"/>
      <c r="J57" s="1"/>
      <c r="K57" s="43"/>
      <c r="L57" s="48" t="str">
        <f t="shared" si="2"/>
        <v/>
      </c>
      <c r="M57" s="43"/>
      <c r="N57" s="43"/>
    </row>
    <row r="58" spans="2:14" x14ac:dyDescent="0.25">
      <c r="B58" s="498" t="str">
        <f>Client1</f>
        <v>Province of KwaZulu-Natal</v>
      </c>
      <c r="C58" s="498"/>
      <c r="D58" s="498"/>
      <c r="E58" s="498"/>
      <c r="F58" s="496" t="str">
        <f>"Contract No. "&amp;ContractNo</f>
        <v>Contract No. ZNB02215/00000/00/HOD/INF/23/T</v>
      </c>
      <c r="G58" s="496"/>
      <c r="H58" s="496"/>
      <c r="K58" s="43"/>
      <c r="L58" s="48" t="str">
        <f t="shared" si="2"/>
        <v/>
      </c>
      <c r="M58" s="43"/>
      <c r="N58" s="43"/>
    </row>
    <row r="59" spans="2:14" x14ac:dyDescent="0.25">
      <c r="B59" s="498" t="str">
        <f>Client2</f>
        <v>Department of Transport</v>
      </c>
      <c r="C59" s="498"/>
      <c r="D59" s="498"/>
      <c r="E59" s="498"/>
      <c r="F59" s="496"/>
      <c r="G59" s="496"/>
      <c r="H59" s="496"/>
      <c r="K59" s="43"/>
      <c r="L59" s="48" t="str">
        <f t="shared" si="2"/>
        <v/>
      </c>
      <c r="M59" s="43"/>
      <c r="N59" s="43"/>
    </row>
    <row r="60" spans="2:14" x14ac:dyDescent="0.25">
      <c r="B60" s="499"/>
      <c r="C60" s="499"/>
      <c r="D60" s="499"/>
      <c r="E60" s="499"/>
      <c r="F60" s="497"/>
      <c r="G60" s="497"/>
      <c r="H60" s="497"/>
      <c r="K60" s="43"/>
      <c r="L60" s="48" t="str">
        <f t="shared" si="2"/>
        <v/>
      </c>
      <c r="M60" s="43"/>
      <c r="N60" s="43"/>
    </row>
    <row r="61" spans="2:14" x14ac:dyDescent="0.25">
      <c r="B61" s="507" t="s">
        <v>8</v>
      </c>
      <c r="C61" s="508"/>
      <c r="D61" s="508"/>
      <c r="E61" s="508"/>
      <c r="F61" s="508"/>
      <c r="G61" s="508"/>
      <c r="H61" s="509" t="str">
        <f>$H$5</f>
        <v>CHAPTER C3.1</v>
      </c>
      <c r="I61" s="6"/>
      <c r="K61" s="43"/>
      <c r="L61" s="48" t="str">
        <f t="shared" si="2"/>
        <v/>
      </c>
      <c r="M61" s="43"/>
      <c r="N61" s="43"/>
    </row>
    <row r="62" spans="2:14" x14ac:dyDescent="0.25">
      <c r="B62" s="500" t="str">
        <f>ContractDescription</f>
        <v>UPGRADING OF MAIN ROAD P8/3 FROM GRAVEL TO BLACKTOP BETWEEN KM 17.560 AND KM 24.221 IN THE PIETERMARITZBURG REGION</v>
      </c>
      <c r="C62" s="501"/>
      <c r="D62" s="501"/>
      <c r="E62" s="501"/>
      <c r="F62" s="501"/>
      <c r="G62" s="501"/>
      <c r="H62" s="496"/>
      <c r="I62" s="9"/>
      <c r="K62" s="43"/>
      <c r="L62" s="48" t="str">
        <f t="shared" si="2"/>
        <v/>
      </c>
      <c r="M62" s="43"/>
      <c r="N62" s="43"/>
    </row>
    <row r="63" spans="2:14" x14ac:dyDescent="0.25">
      <c r="B63" s="500"/>
      <c r="C63" s="501"/>
      <c r="D63" s="501"/>
      <c r="E63" s="501"/>
      <c r="F63" s="501"/>
      <c r="G63" s="501"/>
      <c r="H63" s="496"/>
      <c r="I63" s="9"/>
      <c r="K63" s="43"/>
      <c r="L63" s="48" t="str">
        <f t="shared" si="2"/>
        <v/>
      </c>
      <c r="M63" s="43"/>
      <c r="N63" s="43"/>
    </row>
    <row r="64" spans="2:14" x14ac:dyDescent="0.25">
      <c r="B64" s="502"/>
      <c r="C64" s="503"/>
      <c r="D64" s="503"/>
      <c r="E64" s="503"/>
      <c r="F64" s="503"/>
      <c r="G64" s="503"/>
      <c r="H64" s="497"/>
      <c r="I64" s="9"/>
      <c r="K64" s="43"/>
      <c r="L64" s="48" t="str">
        <f t="shared" si="2"/>
        <v/>
      </c>
      <c r="M64" s="43"/>
      <c r="N64" s="43"/>
    </row>
    <row r="65" spans="2:14" s="10" customFormat="1" ht="25.2" customHeight="1" x14ac:dyDescent="0.25">
      <c r="B65" s="81" t="s">
        <v>0</v>
      </c>
      <c r="C65" s="12" t="s">
        <v>1</v>
      </c>
      <c r="D65" s="12" t="s">
        <v>1602</v>
      </c>
      <c r="E65" s="12" t="s">
        <v>2</v>
      </c>
      <c r="F65" s="12" t="s">
        <v>3</v>
      </c>
      <c r="G65" s="12" t="s">
        <v>4</v>
      </c>
      <c r="H65" s="12" t="s">
        <v>5</v>
      </c>
      <c r="I65" s="13"/>
      <c r="J65" s="1"/>
      <c r="K65" s="43"/>
      <c r="L65" s="48" t="str">
        <f t="shared" si="2"/>
        <v/>
      </c>
      <c r="M65" s="43"/>
      <c r="N65" s="43"/>
    </row>
    <row r="66" spans="2:14" s="31" customFormat="1" ht="20.100000000000001" customHeight="1" x14ac:dyDescent="0.25">
      <c r="B66" s="87"/>
      <c r="C66" s="33" t="s">
        <v>37</v>
      </c>
      <c r="D66" s="33"/>
      <c r="E66" s="34"/>
      <c r="F66" s="35"/>
      <c r="G66" s="34"/>
      <c r="H66" s="36">
        <f>H57</f>
        <v>1597832</v>
      </c>
      <c r="I66" s="37"/>
      <c r="J66" s="1"/>
      <c r="K66" s="43"/>
      <c r="L66" s="48" t="str">
        <f t="shared" si="2"/>
        <v/>
      </c>
      <c r="M66" s="43"/>
      <c r="N66" s="43"/>
    </row>
    <row r="67" spans="2:14" x14ac:dyDescent="0.25">
      <c r="B67" s="66"/>
      <c r="C67" s="15"/>
      <c r="D67" s="15"/>
      <c r="E67" s="16"/>
      <c r="F67" s="27"/>
      <c r="G67" s="67"/>
      <c r="H67" s="26" t="str">
        <f>IF(E67="","",F67*G67)</f>
        <v/>
      </c>
      <c r="K67" s="43"/>
      <c r="L67" s="48" t="str">
        <f t="shared" si="2"/>
        <v/>
      </c>
      <c r="M67" s="43"/>
      <c r="N67" s="43"/>
    </row>
    <row r="68" spans="2:14" ht="26.4" x14ac:dyDescent="0.25">
      <c r="B68" s="53" t="s">
        <v>504</v>
      </c>
      <c r="C68" s="15" t="s">
        <v>1084</v>
      </c>
      <c r="D68" s="15"/>
      <c r="E68" s="16"/>
      <c r="F68" s="16"/>
      <c r="G68" s="17"/>
      <c r="H68" s="26" t="str">
        <f>IF(E68="","",F68*G68)</f>
        <v/>
      </c>
      <c r="K68" s="43"/>
      <c r="L68" s="48" t="str">
        <f t="shared" si="2"/>
        <v/>
      </c>
      <c r="M68" s="43"/>
      <c r="N68" s="43"/>
    </row>
    <row r="69" spans="2:14" x14ac:dyDescent="0.25">
      <c r="B69" s="66"/>
      <c r="C69" s="15"/>
      <c r="D69" s="15"/>
      <c r="E69" s="16"/>
      <c r="F69" s="16"/>
      <c r="G69" s="17"/>
      <c r="H69" s="26" t="str">
        <f>IF(E69="","",F69*G69)</f>
        <v/>
      </c>
      <c r="K69" s="43"/>
      <c r="L69" s="48" t="str">
        <f t="shared" si="2"/>
        <v/>
      </c>
      <c r="M69" s="43"/>
      <c r="N69" s="43"/>
    </row>
    <row r="70" spans="2:14" ht="26.4" x14ac:dyDescent="0.25">
      <c r="B70" s="66" t="s">
        <v>960</v>
      </c>
      <c r="C70" s="15" t="s">
        <v>1085</v>
      </c>
      <c r="D70" s="15"/>
      <c r="E70" s="23" t="s">
        <v>34</v>
      </c>
      <c r="F70" s="27">
        <v>20</v>
      </c>
      <c r="G70" s="17">
        <v>525</v>
      </c>
      <c r="H70" s="26">
        <f>IF(E70="","",F70*G70)</f>
        <v>10500</v>
      </c>
      <c r="K70" s="43">
        <f>_Spread+_Stamp</f>
        <v>84.6</v>
      </c>
      <c r="L70" s="48">
        <f t="shared" si="2"/>
        <v>1692</v>
      </c>
      <c r="M70" s="43"/>
      <c r="N70" s="43"/>
    </row>
    <row r="71" spans="2:14" x14ac:dyDescent="0.25">
      <c r="B71" s="66"/>
      <c r="C71" s="29"/>
      <c r="D71" s="147"/>
      <c r="E71" s="69"/>
      <c r="F71" s="27"/>
      <c r="G71" s="67" t="s">
        <v>1556</v>
      </c>
      <c r="H71" s="26"/>
      <c r="K71" s="43"/>
      <c r="L71" s="48" t="str">
        <f t="shared" si="2"/>
        <v/>
      </c>
      <c r="M71" s="43"/>
      <c r="N71" s="43"/>
    </row>
    <row r="72" spans="2:14" ht="26.4" x14ac:dyDescent="0.25">
      <c r="B72" s="66" t="s">
        <v>503</v>
      </c>
      <c r="C72" s="15" t="s">
        <v>502</v>
      </c>
      <c r="D72" s="15"/>
      <c r="E72" s="16"/>
      <c r="F72" s="27"/>
      <c r="G72" s="17" t="s">
        <v>1556</v>
      </c>
      <c r="H72" s="26" t="str">
        <f t="shared" ref="H72:H91" si="4">IF(E72="","",F72*G72)</f>
        <v/>
      </c>
      <c r="K72" s="43"/>
      <c r="L72" s="48" t="str">
        <f t="shared" si="2"/>
        <v/>
      </c>
      <c r="M72" s="43"/>
      <c r="N72" s="43"/>
    </row>
    <row r="73" spans="2:14" x14ac:dyDescent="0.25">
      <c r="B73" s="66"/>
      <c r="C73" s="29"/>
      <c r="D73" s="147"/>
      <c r="E73" s="69"/>
      <c r="F73" s="27"/>
      <c r="G73" s="70" t="s">
        <v>1556</v>
      </c>
      <c r="H73" s="26" t="str">
        <f t="shared" si="4"/>
        <v/>
      </c>
      <c r="K73" s="43"/>
      <c r="L73" s="48" t="str">
        <f t="shared" si="2"/>
        <v/>
      </c>
      <c r="M73" s="43"/>
      <c r="N73" s="43"/>
    </row>
    <row r="74" spans="2:14" ht="15.6" x14ac:dyDescent="0.25">
      <c r="B74" s="66" t="s">
        <v>501</v>
      </c>
      <c r="C74" s="29" t="s">
        <v>1086</v>
      </c>
      <c r="D74" s="23" t="s">
        <v>1602</v>
      </c>
      <c r="E74" s="23" t="s">
        <v>34</v>
      </c>
      <c r="F74" s="27">
        <v>84</v>
      </c>
      <c r="G74" s="70">
        <v>184</v>
      </c>
      <c r="H74" s="26">
        <f t="shared" si="4"/>
        <v>15456</v>
      </c>
      <c r="K74" s="43">
        <f>_Spread+_Stamp</f>
        <v>84.6</v>
      </c>
      <c r="L74" s="48">
        <f t="shared" si="2"/>
        <v>7106.4</v>
      </c>
      <c r="M74" s="43"/>
      <c r="N74" s="43"/>
    </row>
    <row r="75" spans="2:14" x14ac:dyDescent="0.25">
      <c r="B75" s="66"/>
      <c r="C75" s="29"/>
      <c r="D75" s="147"/>
      <c r="E75" s="69"/>
      <c r="F75" s="27"/>
      <c r="G75" s="67" t="s">
        <v>1556</v>
      </c>
      <c r="H75" s="26" t="str">
        <f t="shared" si="4"/>
        <v/>
      </c>
      <c r="K75" s="43"/>
      <c r="L75" s="48" t="str">
        <f t="shared" si="2"/>
        <v/>
      </c>
      <c r="M75" s="43"/>
      <c r="N75" s="43"/>
    </row>
    <row r="76" spans="2:14" x14ac:dyDescent="0.25">
      <c r="B76" s="66" t="s">
        <v>500</v>
      </c>
      <c r="C76" s="28" t="s">
        <v>499</v>
      </c>
      <c r="D76" s="146"/>
      <c r="E76" s="69"/>
      <c r="F76" s="27"/>
      <c r="G76" s="70" t="s">
        <v>1556</v>
      </c>
      <c r="H76" s="26" t="str">
        <f t="shared" si="4"/>
        <v/>
      </c>
      <c r="K76" s="43"/>
      <c r="L76" s="48" t="str">
        <f t="shared" si="2"/>
        <v/>
      </c>
      <c r="M76" s="43"/>
      <c r="N76" s="43"/>
    </row>
    <row r="77" spans="2:14" x14ac:dyDescent="0.25">
      <c r="B77" s="66"/>
      <c r="C77" s="15"/>
      <c r="D77" s="15"/>
      <c r="E77" s="16"/>
      <c r="F77" s="27"/>
      <c r="G77" s="17" t="s">
        <v>1556</v>
      </c>
      <c r="H77" s="26" t="str">
        <f t="shared" si="4"/>
        <v/>
      </c>
      <c r="K77" s="43"/>
      <c r="L77" s="48" t="str">
        <f t="shared" si="2"/>
        <v/>
      </c>
      <c r="M77" s="43"/>
      <c r="N77" s="43"/>
    </row>
    <row r="78" spans="2:14" ht="26.4" x14ac:dyDescent="0.25">
      <c r="B78" s="66" t="s">
        <v>498</v>
      </c>
      <c r="C78" s="15" t="s">
        <v>1087</v>
      </c>
      <c r="D78" s="23" t="s">
        <v>1602</v>
      </c>
      <c r="E78" s="23" t="s">
        <v>6</v>
      </c>
      <c r="F78" s="27">
        <v>110</v>
      </c>
      <c r="G78" s="17">
        <v>116</v>
      </c>
      <c r="H78" s="26">
        <f t="shared" si="4"/>
        <v>12760</v>
      </c>
      <c r="K78" s="43">
        <f>_Subsoil</f>
        <v>8</v>
      </c>
      <c r="L78" s="48">
        <f t="shared" si="2"/>
        <v>880</v>
      </c>
      <c r="M78" s="43"/>
      <c r="N78" s="43"/>
    </row>
    <row r="79" spans="2:14" x14ac:dyDescent="0.25">
      <c r="B79" s="66"/>
      <c r="C79" s="15"/>
      <c r="D79" s="15"/>
      <c r="E79" s="16"/>
      <c r="F79" s="27"/>
      <c r="G79" s="72" t="s">
        <v>1556</v>
      </c>
      <c r="H79" s="26" t="str">
        <f t="shared" si="4"/>
        <v/>
      </c>
      <c r="K79" s="43"/>
      <c r="L79" s="48" t="str">
        <f t="shared" si="2"/>
        <v/>
      </c>
      <c r="M79" s="43"/>
      <c r="N79" s="43"/>
    </row>
    <row r="80" spans="2:14" ht="26.4" x14ac:dyDescent="0.25">
      <c r="B80" s="66" t="s">
        <v>497</v>
      </c>
      <c r="C80" s="15" t="s">
        <v>496</v>
      </c>
      <c r="D80" s="15"/>
      <c r="E80" s="16"/>
      <c r="F80" s="27"/>
      <c r="G80" s="72" t="s">
        <v>1556</v>
      </c>
      <c r="H80" s="26" t="str">
        <f t="shared" si="4"/>
        <v/>
      </c>
      <c r="K80" s="43"/>
      <c r="L80" s="48" t="str">
        <f t="shared" si="2"/>
        <v/>
      </c>
      <c r="M80" s="43"/>
      <c r="N80" s="43"/>
    </row>
    <row r="81" spans="2:16" x14ac:dyDescent="0.25">
      <c r="B81" s="66"/>
      <c r="C81" s="15"/>
      <c r="D81" s="15"/>
      <c r="E81" s="16"/>
      <c r="F81" s="27"/>
      <c r="G81" s="17" t="s">
        <v>1556</v>
      </c>
      <c r="H81" s="26" t="str">
        <f t="shared" si="4"/>
        <v/>
      </c>
      <c r="K81" s="43"/>
      <c r="L81" s="48" t="str">
        <f t="shared" si="2"/>
        <v/>
      </c>
      <c r="M81" s="43"/>
      <c r="N81" s="43"/>
    </row>
    <row r="82" spans="2:16" ht="15.6" x14ac:dyDescent="0.25">
      <c r="B82" s="66" t="s">
        <v>495</v>
      </c>
      <c r="C82" s="73" t="s">
        <v>494</v>
      </c>
      <c r="D82" s="23" t="s">
        <v>1602</v>
      </c>
      <c r="E82" s="23" t="s">
        <v>80</v>
      </c>
      <c r="F82" s="27">
        <v>130</v>
      </c>
      <c r="G82" s="17">
        <v>6</v>
      </c>
      <c r="H82" s="26">
        <f t="shared" si="4"/>
        <v>780</v>
      </c>
      <c r="K82" s="43">
        <f>_Geofabric</f>
        <v>5.3</v>
      </c>
      <c r="L82" s="48">
        <f t="shared" si="2"/>
        <v>689</v>
      </c>
      <c r="M82" s="43"/>
      <c r="N82" s="43"/>
    </row>
    <row r="83" spans="2:16" x14ac:dyDescent="0.25">
      <c r="B83" s="53"/>
      <c r="C83" s="15"/>
      <c r="D83" s="15"/>
      <c r="E83" s="23"/>
      <c r="F83" s="27"/>
      <c r="G83" s="17" t="s">
        <v>1556</v>
      </c>
      <c r="H83" s="26" t="str">
        <f t="shared" si="4"/>
        <v/>
      </c>
      <c r="K83" s="43"/>
      <c r="L83" s="48" t="str">
        <f t="shared" si="2"/>
        <v/>
      </c>
      <c r="M83" s="43"/>
      <c r="N83" s="43"/>
    </row>
    <row r="84" spans="2:16" ht="15.6" x14ac:dyDescent="0.25">
      <c r="B84" s="66" t="s">
        <v>493</v>
      </c>
      <c r="C84" s="15" t="s">
        <v>1088</v>
      </c>
      <c r="D84" s="23" t="s">
        <v>1602</v>
      </c>
      <c r="E84" s="23" t="s">
        <v>80</v>
      </c>
      <c r="F84" s="27">
        <v>143</v>
      </c>
      <c r="G84" s="17">
        <v>37</v>
      </c>
      <c r="H84" s="26">
        <f t="shared" si="4"/>
        <v>5291</v>
      </c>
      <c r="K84" s="43">
        <f>_Geofabric</f>
        <v>5.3</v>
      </c>
      <c r="L84" s="48">
        <f t="shared" si="2"/>
        <v>757.9</v>
      </c>
      <c r="M84" s="43"/>
      <c r="N84" s="43"/>
    </row>
    <row r="85" spans="2:16" x14ac:dyDescent="0.25">
      <c r="B85" s="66"/>
      <c r="C85" s="73"/>
      <c r="D85" s="73"/>
      <c r="E85" s="74"/>
      <c r="F85" s="27"/>
      <c r="G85" s="17" t="s">
        <v>1556</v>
      </c>
      <c r="H85" s="26" t="str">
        <f t="shared" si="4"/>
        <v/>
      </c>
      <c r="K85" s="43"/>
      <c r="L85" s="48" t="str">
        <f t="shared" si="2"/>
        <v/>
      </c>
      <c r="M85" s="43"/>
      <c r="N85" s="43"/>
    </row>
    <row r="86" spans="2:16" ht="29.7" customHeight="1" x14ac:dyDescent="0.25">
      <c r="B86" s="66" t="s">
        <v>492</v>
      </c>
      <c r="C86" s="73" t="s">
        <v>491</v>
      </c>
      <c r="D86" s="73"/>
      <c r="E86" s="74"/>
      <c r="F86" s="16"/>
      <c r="G86" s="17" t="s">
        <v>1556</v>
      </c>
      <c r="H86" s="26" t="str">
        <f t="shared" si="4"/>
        <v/>
      </c>
      <c r="K86" s="43"/>
      <c r="L86" s="48" t="str">
        <f t="shared" si="2"/>
        <v/>
      </c>
      <c r="M86" s="43"/>
      <c r="N86" s="43"/>
    </row>
    <row r="87" spans="2:16" x14ac:dyDescent="0.25">
      <c r="B87" s="66"/>
      <c r="C87" s="76"/>
      <c r="D87" s="489"/>
      <c r="E87" s="69"/>
      <c r="F87" s="69"/>
      <c r="G87" s="17" t="s">
        <v>1556</v>
      </c>
      <c r="H87" s="26" t="str">
        <f t="shared" si="4"/>
        <v/>
      </c>
      <c r="K87" s="43"/>
      <c r="L87" s="48" t="str">
        <f t="shared" si="2"/>
        <v/>
      </c>
      <c r="M87" s="43"/>
      <c r="N87" s="43"/>
    </row>
    <row r="88" spans="2:16" x14ac:dyDescent="0.25">
      <c r="B88" s="66" t="s">
        <v>490</v>
      </c>
      <c r="C88" s="29" t="s">
        <v>1132</v>
      </c>
      <c r="D88" s="147"/>
      <c r="E88" s="16"/>
      <c r="F88" s="16"/>
      <c r="G88" s="17" t="s">
        <v>1556</v>
      </c>
      <c r="H88" s="26" t="str">
        <f t="shared" si="4"/>
        <v/>
      </c>
      <c r="K88" s="43"/>
      <c r="L88" s="48" t="str">
        <f t="shared" si="2"/>
        <v/>
      </c>
      <c r="M88" s="43"/>
      <c r="N88" s="43"/>
    </row>
    <row r="89" spans="2:16" x14ac:dyDescent="0.25">
      <c r="B89" s="66"/>
      <c r="C89" s="147"/>
      <c r="D89" s="147"/>
      <c r="E89" s="16"/>
      <c r="F89" s="16"/>
      <c r="G89" s="17" t="s">
        <v>1556</v>
      </c>
      <c r="H89" s="26" t="str">
        <f t="shared" si="4"/>
        <v/>
      </c>
      <c r="K89" s="43"/>
      <c r="L89" s="48" t="str">
        <f t="shared" si="2"/>
        <v/>
      </c>
      <c r="M89" s="43"/>
      <c r="N89" s="43"/>
    </row>
    <row r="90" spans="2:16" ht="34.799999999999997" x14ac:dyDescent="0.25">
      <c r="B90" s="66"/>
      <c r="C90" s="208" t="s">
        <v>1133</v>
      </c>
      <c r="D90" s="208"/>
      <c r="E90" s="205" t="s">
        <v>44</v>
      </c>
      <c r="F90" s="16">
        <v>94</v>
      </c>
      <c r="G90" s="17">
        <v>2730</v>
      </c>
      <c r="H90" s="26">
        <f t="shared" si="4"/>
        <v>256620</v>
      </c>
      <c r="K90" s="448">
        <v>1550</v>
      </c>
      <c r="L90" s="48">
        <f t="shared" si="2"/>
        <v>145700</v>
      </c>
      <c r="M90" s="43"/>
      <c r="N90" s="43"/>
      <c r="O90" s="450" t="s">
        <v>1510</v>
      </c>
      <c r="P90" s="450" t="s">
        <v>1511</v>
      </c>
    </row>
    <row r="91" spans="2:16" x14ac:dyDescent="0.25">
      <c r="B91" s="66"/>
      <c r="C91" s="15"/>
      <c r="D91" s="15"/>
      <c r="E91" s="16"/>
      <c r="F91" s="16"/>
      <c r="G91" s="17" t="s">
        <v>1556</v>
      </c>
      <c r="H91" s="26" t="str">
        <f t="shared" si="4"/>
        <v/>
      </c>
      <c r="K91" s="43"/>
      <c r="L91" s="48" t="str">
        <f t="shared" si="2"/>
        <v/>
      </c>
      <c r="M91" s="43"/>
      <c r="N91" s="43"/>
      <c r="O91" s="449">
        <f>ROUND((((1.61+3.3)*0.5*1.35)+(3.3*0.6))*0.15,0)</f>
        <v>1</v>
      </c>
      <c r="P91" s="449">
        <f>ROUND(0.935*(3.3),0)</f>
        <v>3</v>
      </c>
    </row>
    <row r="92" spans="2:16" ht="26.4" x14ac:dyDescent="0.25">
      <c r="B92" s="53" t="s">
        <v>489</v>
      </c>
      <c r="C92" s="15" t="s">
        <v>1134</v>
      </c>
      <c r="D92" s="15"/>
      <c r="E92" s="16" t="s">
        <v>44</v>
      </c>
      <c r="F92" s="16">
        <v>15</v>
      </c>
      <c r="G92" s="17">
        <v>1575</v>
      </c>
      <c r="H92" s="26">
        <f>IF(E92="","",F92*G92)</f>
        <v>23625</v>
      </c>
      <c r="K92" s="447">
        <f>ROUND(_LabourRate*5,0)</f>
        <v>199</v>
      </c>
      <c r="L92" s="48">
        <f t="shared" si="2"/>
        <v>2985</v>
      </c>
      <c r="M92" s="43"/>
      <c r="N92" s="43"/>
      <c r="O92" s="449"/>
      <c r="P92" s="449"/>
    </row>
    <row r="93" spans="2:16" x14ac:dyDescent="0.25">
      <c r="B93" s="53"/>
      <c r="C93" s="15"/>
      <c r="D93" s="15"/>
      <c r="E93" s="16"/>
      <c r="F93" s="16"/>
      <c r="G93" s="17" t="s">
        <v>1556</v>
      </c>
      <c r="H93" s="26" t="str">
        <f>IF(E93="","",F93*G93)</f>
        <v/>
      </c>
      <c r="K93" s="43"/>
      <c r="L93" s="48" t="str">
        <f t="shared" si="2"/>
        <v/>
      </c>
      <c r="M93" s="43"/>
      <c r="N93" s="43"/>
    </row>
    <row r="94" spans="2:16" x14ac:dyDescent="0.25">
      <c r="B94" s="53" t="s">
        <v>488</v>
      </c>
      <c r="C94" s="15" t="s">
        <v>487</v>
      </c>
      <c r="D94" s="15"/>
      <c r="E94" s="16"/>
      <c r="F94" s="16"/>
      <c r="G94" s="17" t="s">
        <v>1556</v>
      </c>
      <c r="H94" s="26" t="str">
        <f>IF(E94="","",F94*G94)</f>
        <v/>
      </c>
      <c r="K94" s="43"/>
      <c r="L94" s="48" t="str">
        <f t="shared" si="2"/>
        <v/>
      </c>
      <c r="M94" s="43"/>
      <c r="N94" s="43"/>
    </row>
    <row r="95" spans="2:16" x14ac:dyDescent="0.25">
      <c r="B95" s="66"/>
      <c r="C95" s="15"/>
      <c r="D95" s="15"/>
      <c r="E95" s="16"/>
      <c r="F95" s="16"/>
      <c r="G95" s="17" t="s">
        <v>1556</v>
      </c>
      <c r="H95" s="26" t="str">
        <f>IF(E95="","",F95*G95)</f>
        <v/>
      </c>
      <c r="K95" s="43"/>
      <c r="L95" s="48" t="str">
        <f t="shared" si="2"/>
        <v/>
      </c>
      <c r="M95" s="43"/>
      <c r="N95" s="43"/>
    </row>
    <row r="96" spans="2:16" x14ac:dyDescent="0.25">
      <c r="B96" s="66" t="s">
        <v>486</v>
      </c>
      <c r="C96" s="73" t="s">
        <v>485</v>
      </c>
      <c r="D96" s="73"/>
      <c r="E96" s="16" t="s">
        <v>44</v>
      </c>
      <c r="F96" s="16">
        <v>5</v>
      </c>
      <c r="G96" s="17">
        <v>68</v>
      </c>
      <c r="H96" s="26">
        <f>IF(E96="","",F96*G96)</f>
        <v>340</v>
      </c>
      <c r="K96" s="447">
        <f>ROUND(3%*H96,0)</f>
        <v>10</v>
      </c>
      <c r="L96" s="48">
        <f t="shared" si="2"/>
        <v>50</v>
      </c>
      <c r="M96" s="43"/>
      <c r="N96" s="43"/>
    </row>
    <row r="97" spans="2:14" x14ac:dyDescent="0.25">
      <c r="B97" s="66"/>
      <c r="C97" s="73"/>
      <c r="D97" s="73"/>
      <c r="E97" s="16"/>
      <c r="F97" s="16"/>
      <c r="G97" s="17" t="s">
        <v>1556</v>
      </c>
      <c r="H97" s="26"/>
      <c r="K97" s="43"/>
      <c r="L97" s="48" t="str">
        <f t="shared" si="2"/>
        <v/>
      </c>
      <c r="M97" s="43"/>
      <c r="N97" s="43"/>
    </row>
    <row r="98" spans="2:14" x14ac:dyDescent="0.25">
      <c r="B98" s="66" t="s">
        <v>484</v>
      </c>
      <c r="C98" s="78" t="s">
        <v>483</v>
      </c>
      <c r="D98" s="210"/>
      <c r="E98" s="16" t="s">
        <v>650</v>
      </c>
      <c r="F98" s="27">
        <v>20000</v>
      </c>
      <c r="G98" s="17">
        <v>1</v>
      </c>
      <c r="H98" s="26">
        <f>IF(E98="","",F98*G98)</f>
        <v>20000</v>
      </c>
      <c r="K98" s="43"/>
      <c r="L98" s="48" t="str">
        <f t="shared" si="2"/>
        <v/>
      </c>
      <c r="M98" s="43"/>
      <c r="N98" s="43"/>
    </row>
    <row r="99" spans="2:14" x14ac:dyDescent="0.25">
      <c r="B99" s="66"/>
      <c r="C99" s="29"/>
      <c r="D99" s="147"/>
      <c r="E99" s="69"/>
      <c r="F99" s="27"/>
      <c r="G99" s="72" t="s">
        <v>1556</v>
      </c>
      <c r="H99" s="26" t="str">
        <f>IF(E99="","",F99*G99)</f>
        <v/>
      </c>
      <c r="K99" s="43"/>
      <c r="L99" s="48" t="str">
        <f t="shared" si="2"/>
        <v/>
      </c>
      <c r="M99" s="43"/>
      <c r="N99" s="43"/>
    </row>
    <row r="100" spans="2:14" ht="15.6" x14ac:dyDescent="0.25">
      <c r="B100" s="66" t="s">
        <v>482</v>
      </c>
      <c r="C100" s="29" t="s">
        <v>481</v>
      </c>
      <c r="D100" s="147"/>
      <c r="E100" s="23" t="s">
        <v>599</v>
      </c>
      <c r="F100" s="27">
        <v>63245</v>
      </c>
      <c r="G100" s="70">
        <v>8</v>
      </c>
      <c r="H100" s="26">
        <f>IF(E100="","",F100*G100)</f>
        <v>505960</v>
      </c>
      <c r="K100" s="43"/>
      <c r="L100" s="48" t="str">
        <f t="shared" si="2"/>
        <v/>
      </c>
      <c r="M100" s="43"/>
      <c r="N100" s="43"/>
    </row>
    <row r="101" spans="2:14" x14ac:dyDescent="0.25">
      <c r="B101" s="66"/>
      <c r="C101" s="73"/>
      <c r="D101" s="73"/>
      <c r="E101" s="16"/>
      <c r="F101" s="16"/>
      <c r="G101" s="72" t="s">
        <v>1556</v>
      </c>
      <c r="H101" s="26"/>
      <c r="K101" s="43"/>
      <c r="L101" s="48" t="str">
        <f t="shared" si="2"/>
        <v/>
      </c>
      <c r="M101" s="43"/>
      <c r="N101" s="43"/>
    </row>
    <row r="102" spans="2:14" ht="15.6" x14ac:dyDescent="0.25">
      <c r="B102" s="53" t="s">
        <v>480</v>
      </c>
      <c r="C102" s="28" t="s">
        <v>479</v>
      </c>
      <c r="D102" s="146"/>
      <c r="E102" s="23" t="s">
        <v>34</v>
      </c>
      <c r="F102" s="27">
        <v>50</v>
      </c>
      <c r="G102" s="70">
        <v>84</v>
      </c>
      <c r="H102" s="26">
        <f>IF(E102="","",F102*G102)</f>
        <v>4200</v>
      </c>
      <c r="K102" s="43">
        <f>_Spread</f>
        <v>5</v>
      </c>
      <c r="L102" s="48">
        <f t="shared" si="2"/>
        <v>250</v>
      </c>
      <c r="M102" s="43"/>
      <c r="N102" s="43"/>
    </row>
    <row r="103" spans="2:14" x14ac:dyDescent="0.25">
      <c r="B103" s="53"/>
      <c r="C103" s="15"/>
      <c r="D103" s="15"/>
      <c r="E103" s="16"/>
      <c r="F103" s="27"/>
      <c r="G103" s="17" t="s">
        <v>1556</v>
      </c>
      <c r="H103" s="26" t="str">
        <f>IF(E103="","",F103*G103)</f>
        <v/>
      </c>
      <c r="K103" s="43"/>
      <c r="L103" s="48" t="str">
        <f t="shared" si="2"/>
        <v/>
      </c>
      <c r="M103" s="43"/>
      <c r="N103" s="43"/>
    </row>
    <row r="104" spans="2:14" ht="39.6" x14ac:dyDescent="0.25">
      <c r="B104" s="53" t="s">
        <v>478</v>
      </c>
      <c r="C104" s="15" t="s">
        <v>477</v>
      </c>
      <c r="D104" s="15"/>
      <c r="E104" s="23" t="s">
        <v>34</v>
      </c>
      <c r="F104" s="27">
        <v>20</v>
      </c>
      <c r="G104" s="17">
        <v>79</v>
      </c>
      <c r="H104" s="26">
        <f>IF(E104="","",F104*G104)</f>
        <v>1580</v>
      </c>
      <c r="K104" s="43">
        <f>_Spread</f>
        <v>5</v>
      </c>
      <c r="L104" s="48">
        <f t="shared" si="2"/>
        <v>100</v>
      </c>
      <c r="M104" s="43"/>
      <c r="N104" s="43"/>
    </row>
    <row r="105" spans="2:14" x14ac:dyDescent="0.25">
      <c r="B105" s="53"/>
      <c r="C105" s="15"/>
      <c r="D105" s="15"/>
      <c r="E105" s="16"/>
      <c r="F105" s="27"/>
      <c r="G105" s="72" t="s">
        <v>1556</v>
      </c>
      <c r="H105" s="26" t="str">
        <f>IF(E105="","",F105*G105)</f>
        <v/>
      </c>
      <c r="K105" s="43"/>
      <c r="L105" s="48" t="str">
        <f t="shared" si="2"/>
        <v/>
      </c>
      <c r="M105" s="43"/>
      <c r="N105" s="43"/>
    </row>
    <row r="106" spans="2:14" ht="26.4" x14ac:dyDescent="0.25">
      <c r="B106" s="53" t="s">
        <v>476</v>
      </c>
      <c r="C106" s="15" t="s">
        <v>475</v>
      </c>
      <c r="D106" s="15"/>
      <c r="E106" s="16" t="s">
        <v>44</v>
      </c>
      <c r="F106" s="16">
        <v>10</v>
      </c>
      <c r="G106" s="72">
        <v>263</v>
      </c>
      <c r="H106" s="26">
        <f>IF(E106="","",F106*G106)</f>
        <v>2630</v>
      </c>
      <c r="K106" s="447">
        <f>ROUND(3%*H106,0)</f>
        <v>79</v>
      </c>
      <c r="L106" s="48">
        <f t="shared" si="2"/>
        <v>790</v>
      </c>
      <c r="M106" s="43"/>
      <c r="N106" s="43"/>
    </row>
    <row r="107" spans="2:14" x14ac:dyDescent="0.25">
      <c r="B107" s="66"/>
      <c r="C107" s="73"/>
      <c r="D107" s="73"/>
      <c r="E107" s="16"/>
      <c r="F107" s="16"/>
      <c r="G107" s="17"/>
      <c r="H107" s="26"/>
      <c r="K107" s="43"/>
      <c r="L107" s="48" t="str">
        <f t="shared" si="2"/>
        <v/>
      </c>
      <c r="M107" s="43"/>
      <c r="N107" s="43"/>
    </row>
    <row r="108" spans="2:14" x14ac:dyDescent="0.25">
      <c r="B108" s="66"/>
      <c r="C108" s="73"/>
      <c r="D108" s="73"/>
      <c r="E108" s="16"/>
      <c r="F108" s="16"/>
      <c r="G108" s="17"/>
      <c r="H108" s="26"/>
      <c r="K108" s="43"/>
      <c r="L108" s="48" t="str">
        <f t="shared" si="2"/>
        <v/>
      </c>
      <c r="M108" s="43"/>
      <c r="N108" s="43"/>
    </row>
    <row r="109" spans="2:14" x14ac:dyDescent="0.25">
      <c r="B109" s="66"/>
      <c r="C109" s="73"/>
      <c r="D109" s="73"/>
      <c r="E109" s="16"/>
      <c r="F109" s="16"/>
      <c r="G109" s="17"/>
      <c r="H109" s="26"/>
      <c r="K109" s="43"/>
      <c r="L109" s="48" t="str">
        <f t="shared" si="2"/>
        <v/>
      </c>
      <c r="M109" s="43"/>
      <c r="N109" s="43"/>
    </row>
    <row r="110" spans="2:14" x14ac:dyDescent="0.25">
      <c r="B110" s="66"/>
      <c r="C110" s="73"/>
      <c r="D110" s="73"/>
      <c r="E110" s="16"/>
      <c r="F110" s="16"/>
      <c r="G110" s="17"/>
      <c r="H110" s="26"/>
      <c r="K110" s="43"/>
      <c r="L110" s="48" t="str">
        <f t="shared" si="2"/>
        <v/>
      </c>
      <c r="M110" s="43"/>
      <c r="N110" s="43"/>
    </row>
    <row r="111" spans="2:14" x14ac:dyDescent="0.25">
      <c r="B111" s="66"/>
      <c r="C111" s="73"/>
      <c r="D111" s="73"/>
      <c r="E111" s="16"/>
      <c r="F111" s="16"/>
      <c r="G111" s="17"/>
      <c r="H111" s="26"/>
      <c r="K111" s="43"/>
      <c r="L111" s="48" t="str">
        <f>IF(K111="","",K111*F111)</f>
        <v/>
      </c>
      <c r="M111" s="43"/>
      <c r="N111" s="43"/>
    </row>
    <row r="112" spans="2:14" x14ac:dyDescent="0.25">
      <c r="B112" s="66"/>
      <c r="C112" s="15"/>
      <c r="D112" s="15"/>
      <c r="E112" s="16"/>
      <c r="F112" s="27"/>
      <c r="G112" s="17"/>
      <c r="H112" s="26"/>
      <c r="K112" s="43"/>
      <c r="L112" s="48" t="str">
        <f>IF(K112="","",K112*F112)</f>
        <v/>
      </c>
      <c r="M112" s="43"/>
      <c r="N112" s="43"/>
    </row>
    <row r="113" spans="2:14" x14ac:dyDescent="0.25">
      <c r="B113" s="66"/>
      <c r="C113" s="15"/>
      <c r="D113" s="15"/>
      <c r="E113" s="16"/>
      <c r="F113" s="27"/>
      <c r="G113" s="17"/>
      <c r="H113" s="26"/>
      <c r="K113" s="43"/>
      <c r="L113" s="48" t="str">
        <f>IF(K113="","",K113*F113)</f>
        <v/>
      </c>
      <c r="M113" s="43"/>
      <c r="N113" s="43"/>
    </row>
    <row r="114" spans="2:14" s="31" customFormat="1" ht="19.5" customHeight="1" x14ac:dyDescent="0.25">
      <c r="B114" s="151" t="str">
        <f>$B$11</f>
        <v>C3.1</v>
      </c>
      <c r="C114" s="33" t="s">
        <v>957</v>
      </c>
      <c r="D114" s="33"/>
      <c r="E114" s="34"/>
      <c r="F114" s="35"/>
      <c r="G114" s="34"/>
      <c r="H114" s="36">
        <f>SUM(H66:H113)</f>
        <v>2457574</v>
      </c>
      <c r="I114" s="37"/>
      <c r="L114" s="36">
        <f>SUM(L66:L113)</f>
        <v>161000.29999999999</v>
      </c>
    </row>
  </sheetData>
  <mergeCells count="11">
    <mergeCell ref="B61:G61"/>
    <mergeCell ref="H61:H64"/>
    <mergeCell ref="B62:G64"/>
    <mergeCell ref="F2:H2"/>
    <mergeCell ref="B6:G8"/>
    <mergeCell ref="H5:H8"/>
    <mergeCell ref="B5:G5"/>
    <mergeCell ref="B58:E58"/>
    <mergeCell ref="F58:H60"/>
    <mergeCell ref="B59:E59"/>
    <mergeCell ref="B60:E60"/>
  </mergeCells>
  <printOptions horizontalCentered="1"/>
  <pageMargins left="0.43307086614173229" right="0.31496062992125984" top="0.43307086614173229" bottom="0.62992125984251968" header="0.35433070866141736" footer="0.31496062992125984"/>
  <pageSetup paperSize="9" scale="79"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rowBreaks count="1" manualBreakCount="1">
    <brk id="57" max="8"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FD991-9ED8-45D1-9594-871F223ECF3D}">
  <sheetPr codeName="Sheet9">
    <tabColor theme="6"/>
  </sheetPr>
  <dimension ref="A1:N130"/>
  <sheetViews>
    <sheetView view="pageBreakPreview" topLeftCell="A90" zoomScaleNormal="100" zoomScaleSheetLayoutView="100" workbookViewId="0">
      <selection activeCell="L25" sqref="L25"/>
    </sheetView>
  </sheetViews>
  <sheetFormatPr defaultColWidth="6.6640625" defaultRowHeight="13.2" x14ac:dyDescent="0.25"/>
  <cols>
    <col min="1" max="1" width="0.6640625" style="39" customWidth="1"/>
    <col min="2" max="2" width="11.5546875" style="39" customWidth="1"/>
    <col min="3" max="3" width="45.5546875" style="39" customWidth="1"/>
    <col min="4" max="4" width="6.44140625" style="39" customWidth="1"/>
    <col min="5" max="5" width="13.5546875" style="39" customWidth="1"/>
    <col min="6" max="8" width="15.5546875" style="39" customWidth="1"/>
    <col min="9" max="9" width="0.6640625" style="39" customWidth="1"/>
    <col min="10" max="10" width="6.6640625" style="39"/>
    <col min="11" max="11" width="7.44140625" style="39" bestFit="1" customWidth="1"/>
    <col min="12" max="12" width="11.6640625" style="39" bestFit="1" customWidth="1"/>
    <col min="13" max="16384" width="6.6640625" style="39"/>
  </cols>
  <sheetData>
    <row r="1" spans="1:14" x14ac:dyDescent="0.25">
      <c r="H1" s="234">
        <f>MAX(H9:H499)</f>
        <v>2885239.5</v>
      </c>
    </row>
    <row r="2" spans="1:14" x14ac:dyDescent="0.25">
      <c r="A2" s="1"/>
      <c r="B2" s="2" t="str">
        <f>Client1</f>
        <v>Province of KwaZulu-Natal</v>
      </c>
      <c r="C2" s="3"/>
      <c r="D2" s="3"/>
      <c r="E2" s="4"/>
      <c r="F2" s="510" t="str">
        <f>"Contract No. "&amp;ContractNo</f>
        <v>Contract No. ZNB02215/00000/00/HOD/INF/23/T</v>
      </c>
      <c r="G2" s="510"/>
      <c r="H2" s="510"/>
      <c r="I2" s="5"/>
      <c r="J2" s="1"/>
      <c r="K2" s="451"/>
      <c r="L2" s="451">
        <f>MAX(L3:L244)</f>
        <v>190483.6</v>
      </c>
      <c r="M2" s="402"/>
      <c r="N2" s="403"/>
    </row>
    <row r="3" spans="1:14" x14ac:dyDescent="0.25">
      <c r="A3" s="1"/>
      <c r="B3" s="96" t="str">
        <f>Client2</f>
        <v>Department of Transport</v>
      </c>
      <c r="C3" s="3"/>
      <c r="D3" s="3"/>
      <c r="E3" s="4"/>
      <c r="F3" s="4"/>
      <c r="G3" s="1"/>
      <c r="H3" s="5"/>
      <c r="I3" s="5"/>
      <c r="J3" s="1"/>
      <c r="K3" s="39" t="s">
        <v>1421</v>
      </c>
      <c r="L3" s="39" t="s">
        <v>1422</v>
      </c>
      <c r="M3" s="1" t="s">
        <v>1423</v>
      </c>
      <c r="N3" s="1" t="s">
        <v>1424</v>
      </c>
    </row>
    <row r="4" spans="1:14" x14ac:dyDescent="0.25">
      <c r="A4" s="1"/>
      <c r="B4" s="84"/>
      <c r="C4" s="84"/>
      <c r="D4" s="84"/>
      <c r="E4" s="85"/>
      <c r="F4" s="85"/>
      <c r="G4" s="86"/>
      <c r="H4" s="98"/>
      <c r="I4" s="5"/>
      <c r="J4" s="1"/>
      <c r="K4" s="452"/>
      <c r="L4" s="452"/>
      <c r="M4" s="86"/>
      <c r="N4" s="86"/>
    </row>
    <row r="5" spans="1:14" x14ac:dyDescent="0.25">
      <c r="A5" s="1"/>
      <c r="B5" s="507" t="s">
        <v>8</v>
      </c>
      <c r="C5" s="508"/>
      <c r="D5" s="508"/>
      <c r="E5" s="508"/>
      <c r="F5" s="508"/>
      <c r="G5" s="508"/>
      <c r="H5" s="519" t="str">
        <f>"CHAPTER "&amp;B10</f>
        <v>CHAPTER C3.2</v>
      </c>
      <c r="I5" s="6"/>
      <c r="J5" s="1"/>
      <c r="M5" s="1"/>
      <c r="N5" s="1"/>
    </row>
    <row r="6" spans="1:14" ht="7.5" customHeight="1" x14ac:dyDescent="0.25">
      <c r="A6" s="1"/>
      <c r="B6" s="500" t="str">
        <f>ContractDescription</f>
        <v>UPGRADING OF MAIN ROAD P8/3 FROM GRAVEL TO BLACKTOP BETWEEN KM 17.560 AND KM 24.221 IN THE PIETERMARITZBURG REGION</v>
      </c>
      <c r="C6" s="501"/>
      <c r="D6" s="501"/>
      <c r="E6" s="501"/>
      <c r="F6" s="501"/>
      <c r="G6" s="501"/>
      <c r="H6" s="520"/>
      <c r="I6" s="9"/>
      <c r="J6" s="1"/>
      <c r="M6" s="1"/>
      <c r="N6" s="1"/>
    </row>
    <row r="7" spans="1:14" ht="12.75" customHeight="1" x14ac:dyDescent="0.25">
      <c r="A7" s="1"/>
      <c r="B7" s="500"/>
      <c r="C7" s="501"/>
      <c r="D7" s="501"/>
      <c r="E7" s="501"/>
      <c r="F7" s="501"/>
      <c r="G7" s="501"/>
      <c r="H7" s="520"/>
      <c r="I7" s="9"/>
      <c r="J7" s="1"/>
      <c r="M7" s="1"/>
      <c r="N7" s="1"/>
    </row>
    <row r="8" spans="1:14" ht="7.5" customHeight="1" x14ac:dyDescent="0.25">
      <c r="A8" s="1"/>
      <c r="B8" s="502"/>
      <c r="C8" s="503"/>
      <c r="D8" s="503"/>
      <c r="E8" s="503"/>
      <c r="F8" s="503"/>
      <c r="G8" s="503"/>
      <c r="H8" s="521"/>
      <c r="I8" s="9"/>
      <c r="J8" s="1"/>
      <c r="M8" s="1"/>
      <c r="N8" s="1"/>
    </row>
    <row r="9" spans="1:14" ht="25.2" customHeight="1" x14ac:dyDescent="0.25">
      <c r="A9" s="10"/>
      <c r="B9" s="11" t="s">
        <v>0</v>
      </c>
      <c r="C9" s="12" t="s">
        <v>1</v>
      </c>
      <c r="D9" s="12" t="s">
        <v>1602</v>
      </c>
      <c r="E9" s="12" t="s">
        <v>2</v>
      </c>
      <c r="F9" s="12" t="s">
        <v>3</v>
      </c>
      <c r="G9" s="12" t="s">
        <v>4</v>
      </c>
      <c r="H9" s="12" t="s">
        <v>5</v>
      </c>
      <c r="I9" s="13"/>
      <c r="J9" s="10"/>
      <c r="K9" s="453"/>
      <c r="L9" s="453"/>
      <c r="M9" s="12"/>
      <c r="N9" s="12"/>
    </row>
    <row r="10" spans="1:14" x14ac:dyDescent="0.25">
      <c r="A10" s="1"/>
      <c r="B10" s="80" t="s">
        <v>598</v>
      </c>
      <c r="C10" s="21" t="s">
        <v>597</v>
      </c>
      <c r="D10" s="21"/>
      <c r="E10" s="16"/>
      <c r="F10" s="16"/>
      <c r="G10" s="17"/>
      <c r="H10" s="26" t="str">
        <f t="shared" ref="H10:H36" si="0">IF(E10="","",F10*G10)</f>
        <v/>
      </c>
      <c r="I10" s="19"/>
      <c r="J10" s="1"/>
      <c r="K10" s="17"/>
      <c r="L10" s="17"/>
      <c r="M10" s="43"/>
      <c r="N10" s="43"/>
    </row>
    <row r="11" spans="1:14" ht="8.1" customHeight="1" x14ac:dyDescent="0.25">
      <c r="A11" s="1"/>
      <c r="B11" s="53"/>
      <c r="C11" s="15"/>
      <c r="D11" s="15"/>
      <c r="E11" s="16"/>
      <c r="F11" s="16"/>
      <c r="G11" s="17"/>
      <c r="H11" s="26" t="str">
        <f t="shared" si="0"/>
        <v/>
      </c>
      <c r="I11" s="19"/>
      <c r="J11" s="1"/>
      <c r="K11" s="17"/>
      <c r="L11" s="17"/>
      <c r="M11" s="43"/>
      <c r="N11" s="43"/>
    </row>
    <row r="12" spans="1:14" x14ac:dyDescent="0.25">
      <c r="A12" s="1"/>
      <c r="B12" s="53" t="s">
        <v>596</v>
      </c>
      <c r="C12" s="15" t="s">
        <v>595</v>
      </c>
      <c r="D12" s="15"/>
      <c r="E12" s="16"/>
      <c r="F12" s="16"/>
      <c r="G12" s="17"/>
      <c r="H12" s="26" t="str">
        <f t="shared" si="0"/>
        <v/>
      </c>
      <c r="I12" s="19"/>
      <c r="J12" s="1"/>
      <c r="K12" s="356"/>
      <c r="L12" s="70" t="str">
        <f t="shared" ref="L12:L46" si="1">IF(K12="","",K12*F12)</f>
        <v/>
      </c>
      <c r="M12" s="25"/>
      <c r="N12" s="25"/>
    </row>
    <row r="13" spans="1:14" x14ac:dyDescent="0.25">
      <c r="A13" s="1"/>
      <c r="B13" s="53"/>
      <c r="C13" s="15"/>
      <c r="D13" s="15"/>
      <c r="E13" s="16"/>
      <c r="F13" s="16"/>
      <c r="G13" s="70"/>
      <c r="H13" s="26" t="str">
        <f t="shared" si="0"/>
        <v/>
      </c>
      <c r="I13" s="19"/>
      <c r="J13" s="1"/>
      <c r="K13" s="17"/>
      <c r="L13" s="70" t="str">
        <f t="shared" si="1"/>
        <v/>
      </c>
      <c r="M13" s="43"/>
      <c r="N13" s="43"/>
    </row>
    <row r="14" spans="1:14" ht="26.4" x14ac:dyDescent="0.25">
      <c r="A14" s="1"/>
      <c r="B14" s="53" t="s">
        <v>594</v>
      </c>
      <c r="C14" s="15" t="s">
        <v>593</v>
      </c>
      <c r="D14" s="15"/>
      <c r="E14" s="23"/>
      <c r="F14" s="24"/>
      <c r="G14" s="70"/>
      <c r="H14" s="26" t="str">
        <f t="shared" si="0"/>
        <v/>
      </c>
      <c r="I14" s="65"/>
      <c r="J14" s="1"/>
      <c r="K14" s="17"/>
      <c r="L14" s="70" t="str">
        <f t="shared" si="1"/>
        <v/>
      </c>
      <c r="M14" s="43"/>
      <c r="N14" s="43"/>
    </row>
    <row r="15" spans="1:14" x14ac:dyDescent="0.25">
      <c r="A15" s="1"/>
      <c r="B15" s="53"/>
      <c r="C15" s="15"/>
      <c r="D15" s="15"/>
      <c r="E15" s="16"/>
      <c r="F15" s="27"/>
      <c r="G15" s="70"/>
      <c r="H15" s="26" t="str">
        <f t="shared" si="0"/>
        <v/>
      </c>
      <c r="I15" s="19"/>
      <c r="J15" s="1"/>
      <c r="K15" s="17"/>
      <c r="L15" s="70" t="str">
        <f t="shared" si="1"/>
        <v/>
      </c>
      <c r="M15" s="43"/>
      <c r="N15" s="43"/>
    </row>
    <row r="16" spans="1:14" ht="15.6" x14ac:dyDescent="0.25">
      <c r="A16" s="1"/>
      <c r="B16" s="53" t="s">
        <v>49</v>
      </c>
      <c r="C16" s="15" t="s">
        <v>521</v>
      </c>
      <c r="D16" s="15"/>
      <c r="E16" s="23" t="s">
        <v>34</v>
      </c>
      <c r="F16" s="27">
        <v>2610</v>
      </c>
      <c r="G16" s="70">
        <v>116</v>
      </c>
      <c r="H16" s="26">
        <f t="shared" si="0"/>
        <v>302760</v>
      </c>
      <c r="I16" s="19"/>
      <c r="J16" s="1"/>
      <c r="K16" s="447">
        <f>G16*3%</f>
        <v>3.48</v>
      </c>
      <c r="L16" s="70">
        <f t="shared" si="1"/>
        <v>9082.7999999999993</v>
      </c>
      <c r="M16" s="43"/>
      <c r="N16" s="43"/>
    </row>
    <row r="17" spans="1:14" x14ac:dyDescent="0.25">
      <c r="A17" s="1"/>
      <c r="B17" s="53"/>
      <c r="C17" s="15"/>
      <c r="D17" s="15"/>
      <c r="E17" s="16"/>
      <c r="F17" s="27"/>
      <c r="G17" s="70" t="s">
        <v>1556</v>
      </c>
      <c r="H17" s="26" t="str">
        <f t="shared" si="0"/>
        <v/>
      </c>
      <c r="I17" s="68"/>
      <c r="J17" s="1"/>
      <c r="K17" s="17"/>
      <c r="L17" s="70" t="str">
        <f t="shared" si="1"/>
        <v/>
      </c>
      <c r="M17" s="43"/>
      <c r="N17" s="43"/>
    </row>
    <row r="18" spans="1:14" ht="15.6" x14ac:dyDescent="0.25">
      <c r="A18" s="1"/>
      <c r="B18" s="53" t="s">
        <v>51</v>
      </c>
      <c r="C18" s="29" t="s">
        <v>520</v>
      </c>
      <c r="D18" s="147"/>
      <c r="E18" s="23" t="s">
        <v>34</v>
      </c>
      <c r="F18" s="27">
        <v>1830</v>
      </c>
      <c r="G18" s="70">
        <v>131</v>
      </c>
      <c r="H18" s="26">
        <f t="shared" si="0"/>
        <v>239730</v>
      </c>
      <c r="I18" s="71"/>
      <c r="J18" s="1"/>
      <c r="K18" s="447">
        <f>G18*3%</f>
        <v>3.9299999999999997</v>
      </c>
      <c r="L18" s="70">
        <f t="shared" si="1"/>
        <v>7191.9</v>
      </c>
      <c r="M18" s="43"/>
      <c r="N18" s="43"/>
    </row>
    <row r="19" spans="1:14" x14ac:dyDescent="0.25">
      <c r="A19" s="1"/>
      <c r="B19" s="53"/>
      <c r="C19" s="28"/>
      <c r="D19" s="146"/>
      <c r="E19" s="69"/>
      <c r="F19" s="27"/>
      <c r="G19" s="70" t="s">
        <v>1556</v>
      </c>
      <c r="H19" s="26" t="str">
        <f t="shared" si="0"/>
        <v/>
      </c>
      <c r="I19" s="71"/>
      <c r="J19" s="1"/>
      <c r="K19" s="17"/>
      <c r="L19" s="70" t="str">
        <f t="shared" si="1"/>
        <v/>
      </c>
      <c r="M19" s="43"/>
      <c r="N19" s="43"/>
    </row>
    <row r="20" spans="1:14" ht="15.6" x14ac:dyDescent="0.25">
      <c r="A20" s="1"/>
      <c r="B20" s="53" t="s">
        <v>65</v>
      </c>
      <c r="C20" s="29" t="s">
        <v>519</v>
      </c>
      <c r="D20" s="147"/>
      <c r="E20" s="23" t="s">
        <v>34</v>
      </c>
      <c r="F20" s="27">
        <v>200</v>
      </c>
      <c r="G20" s="70">
        <v>142</v>
      </c>
      <c r="H20" s="26">
        <f t="shared" si="0"/>
        <v>28400</v>
      </c>
      <c r="I20" s="71"/>
      <c r="J20" s="1"/>
      <c r="K20" s="447">
        <f>G20*3%</f>
        <v>4.26</v>
      </c>
      <c r="L20" s="70">
        <f t="shared" si="1"/>
        <v>852</v>
      </c>
      <c r="M20" s="43"/>
      <c r="N20" s="43"/>
    </row>
    <row r="21" spans="1:14" x14ac:dyDescent="0.25">
      <c r="A21" s="1"/>
      <c r="B21" s="53"/>
      <c r="C21" s="28"/>
      <c r="D21" s="146"/>
      <c r="E21" s="69"/>
      <c r="F21" s="27"/>
      <c r="G21" s="70" t="s">
        <v>1556</v>
      </c>
      <c r="H21" s="26" t="str">
        <f t="shared" si="0"/>
        <v/>
      </c>
      <c r="I21" s="71"/>
      <c r="J21" s="1"/>
      <c r="K21" s="17"/>
      <c r="L21" s="70" t="str">
        <f t="shared" si="1"/>
        <v/>
      </c>
      <c r="M21" s="43"/>
      <c r="N21" s="43"/>
    </row>
    <row r="22" spans="1:14" ht="52.8" x14ac:dyDescent="0.25">
      <c r="A22" s="1"/>
      <c r="B22" s="53" t="s">
        <v>592</v>
      </c>
      <c r="C22" s="29" t="s">
        <v>591</v>
      </c>
      <c r="D22" s="494" t="s">
        <v>1602</v>
      </c>
      <c r="E22" s="23" t="s">
        <v>34</v>
      </c>
      <c r="F22" s="27">
        <v>500</v>
      </c>
      <c r="G22" s="70">
        <v>131</v>
      </c>
      <c r="H22" s="26">
        <f t="shared" si="0"/>
        <v>65500</v>
      </c>
      <c r="I22" s="71"/>
      <c r="J22" s="1"/>
      <c r="K22" s="447">
        <f>_Excavation</f>
        <v>134</v>
      </c>
      <c r="L22" s="70">
        <f>IF(K22="","",K22*F22)</f>
        <v>67000</v>
      </c>
      <c r="M22" s="43"/>
      <c r="N22" s="43"/>
    </row>
    <row r="23" spans="1:14" x14ac:dyDescent="0.25">
      <c r="A23" s="1"/>
      <c r="B23" s="53"/>
      <c r="C23" s="15"/>
      <c r="D23" s="15"/>
      <c r="E23" s="16"/>
      <c r="F23" s="27"/>
      <c r="G23" s="70" t="s">
        <v>1556</v>
      </c>
      <c r="H23" s="26" t="str">
        <f t="shared" si="0"/>
        <v/>
      </c>
      <c r="I23" s="19"/>
      <c r="J23" s="1"/>
      <c r="K23" s="17"/>
      <c r="L23" s="70" t="str">
        <f t="shared" si="1"/>
        <v/>
      </c>
      <c r="M23" s="43"/>
      <c r="N23" s="43"/>
    </row>
    <row r="24" spans="1:14" ht="26.4" x14ac:dyDescent="0.25">
      <c r="A24" s="1"/>
      <c r="B24" s="53" t="s">
        <v>590</v>
      </c>
      <c r="C24" s="15" t="s">
        <v>1089</v>
      </c>
      <c r="D24" s="15"/>
      <c r="E24" s="23" t="s">
        <v>34</v>
      </c>
      <c r="F24" s="27">
        <v>392</v>
      </c>
      <c r="G24" s="70">
        <v>578</v>
      </c>
      <c r="H24" s="26">
        <f t="shared" si="0"/>
        <v>226576</v>
      </c>
      <c r="I24" s="65"/>
      <c r="J24" s="1"/>
      <c r="K24" s="447">
        <f>_Excavation*2</f>
        <v>268</v>
      </c>
      <c r="L24" s="70">
        <f t="shared" si="1"/>
        <v>105056</v>
      </c>
      <c r="M24" s="43"/>
      <c r="N24" s="43"/>
    </row>
    <row r="25" spans="1:14" x14ac:dyDescent="0.25">
      <c r="A25" s="1"/>
      <c r="B25" s="53"/>
      <c r="C25" s="15"/>
      <c r="D25" s="15"/>
      <c r="E25" s="16"/>
      <c r="F25" s="27"/>
      <c r="G25" s="70" t="s">
        <v>1556</v>
      </c>
      <c r="H25" s="26" t="str">
        <f t="shared" si="0"/>
        <v/>
      </c>
      <c r="I25" s="19"/>
      <c r="J25" s="1"/>
      <c r="K25" s="17"/>
      <c r="L25" s="70" t="str">
        <f t="shared" si="1"/>
        <v/>
      </c>
      <c r="M25" s="43"/>
      <c r="N25" s="43"/>
    </row>
    <row r="26" spans="1:14" ht="26.4" x14ac:dyDescent="0.25">
      <c r="A26" s="1"/>
      <c r="B26" s="53" t="s">
        <v>589</v>
      </c>
      <c r="C26" s="15" t="s">
        <v>588</v>
      </c>
      <c r="D26" s="15"/>
      <c r="E26" s="23" t="s">
        <v>34</v>
      </c>
      <c r="F26" s="27">
        <v>10</v>
      </c>
      <c r="G26" s="70">
        <v>420</v>
      </c>
      <c r="H26" s="26">
        <f t="shared" si="0"/>
        <v>4200</v>
      </c>
      <c r="I26" s="19"/>
      <c r="J26" s="1"/>
      <c r="K26" s="447">
        <f>_Excavation*1.5</f>
        <v>201</v>
      </c>
      <c r="L26" s="70">
        <f t="shared" si="1"/>
        <v>2010</v>
      </c>
      <c r="M26" s="43"/>
      <c r="N26" s="43"/>
    </row>
    <row r="27" spans="1:14" x14ac:dyDescent="0.25">
      <c r="A27" s="1"/>
      <c r="B27" s="53"/>
      <c r="C27" s="15"/>
      <c r="D27" s="15"/>
      <c r="E27" s="16"/>
      <c r="F27" s="27"/>
      <c r="G27" s="70" t="s">
        <v>1556</v>
      </c>
      <c r="H27" s="26" t="str">
        <f t="shared" si="0"/>
        <v/>
      </c>
      <c r="I27" s="19"/>
      <c r="J27" s="1"/>
      <c r="K27" s="17"/>
      <c r="L27" s="70" t="str">
        <f t="shared" si="1"/>
        <v/>
      </c>
      <c r="M27" s="43"/>
      <c r="N27" s="43"/>
    </row>
    <row r="28" spans="1:14" x14ac:dyDescent="0.25">
      <c r="A28" s="1"/>
      <c r="B28" s="53" t="s">
        <v>587</v>
      </c>
      <c r="C28" s="15" t="s">
        <v>586</v>
      </c>
      <c r="D28" s="15"/>
      <c r="E28" s="16"/>
      <c r="F28" s="27"/>
      <c r="G28" s="70" t="s">
        <v>1556</v>
      </c>
      <c r="H28" s="26" t="str">
        <f t="shared" si="0"/>
        <v/>
      </c>
      <c r="I28" s="19"/>
      <c r="J28" s="1"/>
      <c r="K28" s="17"/>
      <c r="L28" s="70" t="str">
        <f t="shared" si="1"/>
        <v/>
      </c>
      <c r="M28" s="43"/>
      <c r="N28" s="43"/>
    </row>
    <row r="29" spans="1:14" x14ac:dyDescent="0.25">
      <c r="A29" s="1"/>
      <c r="B29" s="53"/>
      <c r="C29" s="15"/>
      <c r="D29" s="15"/>
      <c r="E29" s="16"/>
      <c r="F29" s="27"/>
      <c r="G29" s="70" t="s">
        <v>1556</v>
      </c>
      <c r="H29" s="26" t="str">
        <f t="shared" si="0"/>
        <v/>
      </c>
      <c r="I29" s="19"/>
      <c r="J29" s="1"/>
      <c r="K29" s="17"/>
      <c r="L29" s="70" t="str">
        <f t="shared" si="1"/>
        <v/>
      </c>
      <c r="M29" s="43"/>
      <c r="N29" s="43"/>
    </row>
    <row r="30" spans="1:14" ht="15.6" x14ac:dyDescent="0.25">
      <c r="A30" s="1"/>
      <c r="B30" s="53" t="s">
        <v>585</v>
      </c>
      <c r="C30" s="15" t="s">
        <v>584</v>
      </c>
      <c r="D30" s="494" t="s">
        <v>1602</v>
      </c>
      <c r="E30" s="23" t="s">
        <v>34</v>
      </c>
      <c r="F30" s="27">
        <v>1305</v>
      </c>
      <c r="G30" s="70">
        <v>47</v>
      </c>
      <c r="H30" s="26">
        <f t="shared" si="0"/>
        <v>61335</v>
      </c>
      <c r="I30" s="65"/>
      <c r="J30" s="1"/>
      <c r="K30" s="17">
        <f>_Backfill</f>
        <v>45</v>
      </c>
      <c r="L30" s="70">
        <f t="shared" si="1"/>
        <v>58725</v>
      </c>
      <c r="M30" s="43"/>
      <c r="N30" s="43"/>
    </row>
    <row r="31" spans="1:14" x14ac:dyDescent="0.25">
      <c r="A31" s="1"/>
      <c r="B31" s="53"/>
      <c r="C31" s="15"/>
      <c r="D31" s="15"/>
      <c r="E31" s="16"/>
      <c r="F31" s="27"/>
      <c r="G31" s="70" t="s">
        <v>1556</v>
      </c>
      <c r="H31" s="26" t="str">
        <f t="shared" si="0"/>
        <v/>
      </c>
      <c r="I31" s="19"/>
      <c r="J31" s="1"/>
      <c r="K31" s="17"/>
      <c r="L31" s="70" t="str">
        <f t="shared" si="1"/>
        <v/>
      </c>
      <c r="M31" s="43"/>
      <c r="N31" s="43"/>
    </row>
    <row r="32" spans="1:14" x14ac:dyDescent="0.25">
      <c r="A32" s="1"/>
      <c r="B32" s="53" t="s">
        <v>583</v>
      </c>
      <c r="C32" s="73" t="s">
        <v>582</v>
      </c>
      <c r="D32" s="494"/>
      <c r="E32" s="74"/>
      <c r="F32" s="27"/>
      <c r="G32" s="70" t="s">
        <v>1556</v>
      </c>
      <c r="H32" s="26" t="str">
        <f t="shared" si="0"/>
        <v/>
      </c>
      <c r="I32" s="19"/>
      <c r="J32" s="1"/>
      <c r="K32" s="17"/>
      <c r="L32" s="70" t="str">
        <f t="shared" si="1"/>
        <v/>
      </c>
      <c r="M32" s="43"/>
      <c r="N32" s="43"/>
    </row>
    <row r="33" spans="1:14" x14ac:dyDescent="0.25">
      <c r="A33" s="1"/>
      <c r="B33" s="53"/>
      <c r="C33" s="73"/>
      <c r="D33" s="73"/>
      <c r="E33" s="74"/>
      <c r="F33" s="27"/>
      <c r="G33" s="70" t="s">
        <v>1556</v>
      </c>
      <c r="H33" s="26"/>
      <c r="I33" s="19"/>
      <c r="J33" s="1"/>
      <c r="K33" s="17"/>
      <c r="L33" s="70" t="str">
        <f t="shared" si="1"/>
        <v/>
      </c>
      <c r="M33" s="43"/>
      <c r="N33" s="43"/>
    </row>
    <row r="34" spans="1:14" ht="15.6" x14ac:dyDescent="0.25">
      <c r="A34" s="1"/>
      <c r="B34" s="53" t="s">
        <v>49</v>
      </c>
      <c r="C34" s="15" t="s">
        <v>1090</v>
      </c>
      <c r="D34" s="494" t="s">
        <v>1602</v>
      </c>
      <c r="E34" s="23" t="s">
        <v>34</v>
      </c>
      <c r="F34" s="16">
        <v>550</v>
      </c>
      <c r="G34" s="70">
        <v>126</v>
      </c>
      <c r="H34" s="26">
        <f t="shared" si="0"/>
        <v>69300</v>
      </c>
      <c r="I34" s="19"/>
      <c r="J34" s="1"/>
      <c r="K34" s="17">
        <f>_Backfill</f>
        <v>45</v>
      </c>
      <c r="L34" s="70">
        <f t="shared" si="1"/>
        <v>24750</v>
      </c>
      <c r="M34" s="43"/>
      <c r="N34" s="43"/>
    </row>
    <row r="35" spans="1:14" x14ac:dyDescent="0.25">
      <c r="A35" s="1"/>
      <c r="B35" s="53"/>
      <c r="C35" s="15"/>
      <c r="D35" s="15"/>
      <c r="E35" s="16"/>
      <c r="F35" s="16"/>
      <c r="G35" s="70" t="s">
        <v>1556</v>
      </c>
      <c r="H35" s="26" t="str">
        <f t="shared" si="0"/>
        <v/>
      </c>
      <c r="I35" s="19"/>
      <c r="J35" s="1"/>
      <c r="K35" s="17"/>
      <c r="L35" s="70" t="str">
        <f t="shared" si="1"/>
        <v/>
      </c>
      <c r="M35" s="43"/>
      <c r="N35" s="43"/>
    </row>
    <row r="36" spans="1:14" ht="15.6" x14ac:dyDescent="0.25">
      <c r="A36" s="1"/>
      <c r="B36" s="53" t="s">
        <v>51</v>
      </c>
      <c r="C36" s="15" t="s">
        <v>1091</v>
      </c>
      <c r="D36" s="494" t="s">
        <v>1602</v>
      </c>
      <c r="E36" s="23" t="s">
        <v>34</v>
      </c>
      <c r="F36" s="16">
        <v>1305</v>
      </c>
      <c r="G36" s="70">
        <v>84</v>
      </c>
      <c r="H36" s="26">
        <f t="shared" si="0"/>
        <v>109620</v>
      </c>
      <c r="I36" s="19"/>
      <c r="J36" s="1"/>
      <c r="K36" s="17">
        <f>_Backfill</f>
        <v>45</v>
      </c>
      <c r="L36" s="70">
        <f t="shared" si="1"/>
        <v>58725</v>
      </c>
      <c r="M36" s="43"/>
      <c r="N36" s="43"/>
    </row>
    <row r="37" spans="1:14" x14ac:dyDescent="0.25">
      <c r="A37" s="1"/>
      <c r="B37" s="53"/>
      <c r="C37" s="15"/>
      <c r="D37" s="15"/>
      <c r="E37" s="16"/>
      <c r="F37" s="16"/>
      <c r="G37" s="70" t="s">
        <v>1556</v>
      </c>
      <c r="H37" s="26" t="str">
        <f t="shared" ref="H37:H54" si="2">IF(E37="","",F37*G37)</f>
        <v/>
      </c>
      <c r="I37" s="19"/>
      <c r="J37" s="1"/>
      <c r="K37" s="17"/>
      <c r="L37" s="70" t="str">
        <f t="shared" si="1"/>
        <v/>
      </c>
      <c r="M37" s="43"/>
      <c r="N37" s="43"/>
    </row>
    <row r="38" spans="1:14" x14ac:dyDescent="0.25">
      <c r="A38" s="1"/>
      <c r="B38" s="53" t="s">
        <v>581</v>
      </c>
      <c r="C38" s="15" t="s">
        <v>580</v>
      </c>
      <c r="D38" s="15"/>
      <c r="E38" s="16"/>
      <c r="F38" s="16"/>
      <c r="G38" s="70" t="s">
        <v>1556</v>
      </c>
      <c r="H38" s="26" t="str">
        <f t="shared" si="2"/>
        <v/>
      </c>
      <c r="I38" s="19"/>
      <c r="J38" s="1"/>
      <c r="K38" s="17"/>
      <c r="L38" s="70" t="str">
        <f t="shared" si="1"/>
        <v/>
      </c>
      <c r="M38" s="43"/>
      <c r="N38" s="43"/>
    </row>
    <row r="39" spans="1:14" x14ac:dyDescent="0.25">
      <c r="B39" s="53"/>
      <c r="C39" s="15"/>
      <c r="D39" s="15"/>
      <c r="E39" s="16"/>
      <c r="F39" s="16"/>
      <c r="G39" s="70" t="s">
        <v>1556</v>
      </c>
      <c r="H39" s="26" t="str">
        <f t="shared" si="2"/>
        <v/>
      </c>
      <c r="J39" s="1"/>
      <c r="K39" s="17"/>
      <c r="L39" s="70" t="str">
        <f t="shared" si="1"/>
        <v/>
      </c>
      <c r="M39" s="43"/>
      <c r="N39" s="43"/>
    </row>
    <row r="40" spans="1:14" x14ac:dyDescent="0.25">
      <c r="B40" s="53" t="s">
        <v>579</v>
      </c>
      <c r="C40" s="15" t="s">
        <v>1092</v>
      </c>
      <c r="D40" s="15"/>
      <c r="E40" s="23"/>
      <c r="F40" s="24"/>
      <c r="G40" s="70" t="s">
        <v>1556</v>
      </c>
      <c r="H40" s="26" t="str">
        <f t="shared" si="2"/>
        <v/>
      </c>
      <c r="J40" s="1"/>
      <c r="K40" s="17"/>
      <c r="L40" s="70" t="str">
        <f t="shared" si="1"/>
        <v/>
      </c>
      <c r="M40" s="43"/>
      <c r="N40" s="43"/>
    </row>
    <row r="41" spans="1:14" x14ac:dyDescent="0.25">
      <c r="B41" s="53"/>
      <c r="C41" s="15"/>
      <c r="D41" s="15"/>
      <c r="E41" s="23"/>
      <c r="F41" s="24"/>
      <c r="G41" s="70" t="s">
        <v>1556</v>
      </c>
      <c r="H41" s="26" t="str">
        <f t="shared" si="2"/>
        <v/>
      </c>
      <c r="J41" s="1"/>
      <c r="K41" s="17"/>
      <c r="L41" s="70" t="str">
        <f t="shared" si="1"/>
        <v/>
      </c>
      <c r="M41" s="43"/>
      <c r="N41" s="43"/>
    </row>
    <row r="42" spans="1:14" x14ac:dyDescent="0.25">
      <c r="B42" s="53"/>
      <c r="C42" s="15" t="s">
        <v>1093</v>
      </c>
      <c r="D42" s="494" t="s">
        <v>1602</v>
      </c>
      <c r="E42" s="23" t="s">
        <v>6</v>
      </c>
      <c r="F42" s="24">
        <v>340</v>
      </c>
      <c r="G42" s="70">
        <v>893</v>
      </c>
      <c r="H42" s="26">
        <f t="shared" si="2"/>
        <v>303620</v>
      </c>
      <c r="J42" s="1"/>
      <c r="K42" s="17">
        <f>3%*G42</f>
        <v>26.79</v>
      </c>
      <c r="L42" s="70">
        <f t="shared" si="1"/>
        <v>9108.6</v>
      </c>
      <c r="M42" s="43"/>
      <c r="N42" s="43"/>
    </row>
    <row r="43" spans="1:14" x14ac:dyDescent="0.25">
      <c r="B43" s="53"/>
      <c r="C43" s="15"/>
      <c r="D43" s="15"/>
      <c r="E43" s="23"/>
      <c r="F43" s="24"/>
      <c r="G43" s="70" t="s">
        <v>1556</v>
      </c>
      <c r="H43" s="26" t="str">
        <f t="shared" si="2"/>
        <v/>
      </c>
      <c r="J43" s="1"/>
      <c r="K43" s="17"/>
      <c r="L43" s="70" t="str">
        <f t="shared" si="1"/>
        <v/>
      </c>
      <c r="M43" s="43"/>
      <c r="N43" s="43"/>
    </row>
    <row r="44" spans="1:14" x14ac:dyDescent="0.25">
      <c r="B44" s="53"/>
      <c r="C44" s="15" t="s">
        <v>1094</v>
      </c>
      <c r="D44" s="494" t="s">
        <v>1602</v>
      </c>
      <c r="E44" s="23" t="s">
        <v>6</v>
      </c>
      <c r="F44" s="24">
        <v>695</v>
      </c>
      <c r="G44" s="70">
        <v>1260</v>
      </c>
      <c r="H44" s="26">
        <f t="shared" si="2"/>
        <v>875700</v>
      </c>
      <c r="J44" s="1"/>
      <c r="K44" s="17">
        <f>3%*G44</f>
        <v>37.799999999999997</v>
      </c>
      <c r="L44" s="70">
        <f t="shared" si="1"/>
        <v>26270.999999999996</v>
      </c>
      <c r="M44" s="43"/>
      <c r="N44" s="43"/>
    </row>
    <row r="45" spans="1:14" x14ac:dyDescent="0.25">
      <c r="B45" s="53"/>
      <c r="C45" s="15"/>
      <c r="D45" s="15"/>
      <c r="E45" s="16"/>
      <c r="F45" s="27"/>
      <c r="G45" s="70" t="s">
        <v>1556</v>
      </c>
      <c r="H45" s="26" t="str">
        <f t="shared" si="2"/>
        <v/>
      </c>
      <c r="J45" s="1"/>
      <c r="K45" s="17"/>
      <c r="L45" s="70" t="str">
        <f t="shared" si="1"/>
        <v/>
      </c>
      <c r="M45" s="43"/>
      <c r="N45" s="43"/>
    </row>
    <row r="46" spans="1:14" x14ac:dyDescent="0.25">
      <c r="B46" s="53"/>
      <c r="C46" s="15" t="s">
        <v>1095</v>
      </c>
      <c r="D46" s="494" t="s">
        <v>1602</v>
      </c>
      <c r="E46" s="16" t="s">
        <v>6</v>
      </c>
      <c r="F46" s="27">
        <v>20</v>
      </c>
      <c r="G46" s="70">
        <v>1680</v>
      </c>
      <c r="H46" s="26">
        <f t="shared" si="2"/>
        <v>33600</v>
      </c>
      <c r="J46" s="1"/>
      <c r="K46" s="17">
        <f>3%*G46</f>
        <v>50.4</v>
      </c>
      <c r="L46" s="70">
        <f t="shared" si="1"/>
        <v>1008</v>
      </c>
    </row>
    <row r="47" spans="1:14" x14ac:dyDescent="0.25">
      <c r="B47" s="53"/>
      <c r="C47" s="15"/>
      <c r="D47" s="15"/>
      <c r="E47" s="16"/>
      <c r="F47" s="27"/>
      <c r="G47" s="70" t="s">
        <v>1556</v>
      </c>
      <c r="H47" s="26" t="str">
        <f t="shared" si="2"/>
        <v/>
      </c>
      <c r="J47" s="1"/>
      <c r="K47" s="17"/>
      <c r="L47" s="70" t="str">
        <f t="shared" ref="L47:L110" si="3">IF(K47="","",K47*F47)</f>
        <v/>
      </c>
      <c r="M47" s="43"/>
      <c r="N47" s="43"/>
    </row>
    <row r="48" spans="1:14" x14ac:dyDescent="0.25">
      <c r="B48" s="53" t="s">
        <v>578</v>
      </c>
      <c r="C48" s="29" t="s">
        <v>1096</v>
      </c>
      <c r="D48" s="147"/>
      <c r="E48" s="69"/>
      <c r="F48" s="27"/>
      <c r="G48" s="70" t="s">
        <v>1556</v>
      </c>
      <c r="H48" s="26" t="str">
        <f t="shared" si="2"/>
        <v/>
      </c>
      <c r="J48" s="1"/>
      <c r="K48" s="17"/>
      <c r="L48" s="70" t="str">
        <f t="shared" si="3"/>
        <v/>
      </c>
      <c r="M48" s="43"/>
      <c r="N48" s="43"/>
    </row>
    <row r="49" spans="2:14" x14ac:dyDescent="0.25">
      <c r="B49" s="53"/>
      <c r="C49" s="147"/>
      <c r="D49" s="147"/>
      <c r="E49" s="69"/>
      <c r="F49" s="27"/>
      <c r="G49" s="70" t="s">
        <v>1556</v>
      </c>
      <c r="H49" s="26" t="str">
        <f t="shared" si="2"/>
        <v/>
      </c>
      <c r="J49" s="1"/>
      <c r="K49" s="17"/>
      <c r="L49" s="70" t="str">
        <f t="shared" si="3"/>
        <v/>
      </c>
      <c r="M49" s="43"/>
      <c r="N49" s="43"/>
    </row>
    <row r="50" spans="2:14" x14ac:dyDescent="0.25">
      <c r="B50" s="53"/>
      <c r="C50" s="15" t="s">
        <v>1093</v>
      </c>
      <c r="D50" s="15"/>
      <c r="E50" s="23" t="s">
        <v>44</v>
      </c>
      <c r="F50" s="27">
        <v>4</v>
      </c>
      <c r="G50" s="70">
        <v>525</v>
      </c>
      <c r="H50" s="26">
        <f t="shared" si="2"/>
        <v>2100</v>
      </c>
      <c r="J50" s="1"/>
      <c r="K50" s="17">
        <f>3%*G50</f>
        <v>15.75</v>
      </c>
      <c r="L50" s="70">
        <f t="shared" si="3"/>
        <v>63</v>
      </c>
      <c r="M50" s="43"/>
      <c r="N50" s="43"/>
    </row>
    <row r="51" spans="2:14" x14ac:dyDescent="0.25">
      <c r="B51" s="53"/>
      <c r="C51" s="15"/>
      <c r="D51" s="15"/>
      <c r="E51" s="23"/>
      <c r="F51" s="27"/>
      <c r="G51" s="70" t="s">
        <v>1556</v>
      </c>
      <c r="H51" s="26" t="str">
        <f t="shared" si="2"/>
        <v/>
      </c>
      <c r="J51" s="1"/>
      <c r="K51" s="17"/>
      <c r="L51" s="70" t="str">
        <f t="shared" si="3"/>
        <v/>
      </c>
      <c r="M51" s="43"/>
      <c r="N51" s="43"/>
    </row>
    <row r="52" spans="2:14" x14ac:dyDescent="0.25">
      <c r="B52" s="53"/>
      <c r="C52" s="15" t="s">
        <v>1094</v>
      </c>
      <c r="D52" s="15"/>
      <c r="E52" s="23" t="s">
        <v>44</v>
      </c>
      <c r="F52" s="27">
        <v>10</v>
      </c>
      <c r="G52" s="70">
        <v>788</v>
      </c>
      <c r="H52" s="26">
        <f t="shared" si="2"/>
        <v>7880</v>
      </c>
      <c r="J52" s="1"/>
      <c r="K52" s="17">
        <f>3%*G52</f>
        <v>23.64</v>
      </c>
      <c r="L52" s="70">
        <f t="shared" si="3"/>
        <v>236.4</v>
      </c>
      <c r="M52" s="43"/>
      <c r="N52" s="43"/>
    </row>
    <row r="53" spans="2:14" x14ac:dyDescent="0.25">
      <c r="B53" s="53"/>
      <c r="C53" s="15"/>
      <c r="D53" s="15"/>
      <c r="E53" s="16"/>
      <c r="F53" s="27"/>
      <c r="G53" s="70" t="s">
        <v>1556</v>
      </c>
      <c r="H53" s="26" t="str">
        <f t="shared" si="2"/>
        <v/>
      </c>
      <c r="J53" s="1"/>
      <c r="K53" s="17"/>
      <c r="L53" s="70" t="str">
        <f t="shared" si="3"/>
        <v/>
      </c>
      <c r="M53" s="43"/>
      <c r="N53" s="43"/>
    </row>
    <row r="54" spans="2:14" x14ac:dyDescent="0.25">
      <c r="B54" s="53"/>
      <c r="C54" s="15" t="s">
        <v>1095</v>
      </c>
      <c r="D54" s="15"/>
      <c r="E54" s="16" t="s">
        <v>44</v>
      </c>
      <c r="F54" s="27">
        <v>2</v>
      </c>
      <c r="G54" s="70">
        <v>1050</v>
      </c>
      <c r="H54" s="26">
        <f t="shared" si="2"/>
        <v>2100</v>
      </c>
      <c r="J54" s="1"/>
      <c r="K54" s="17">
        <f>3%*G54</f>
        <v>31.5</v>
      </c>
      <c r="L54" s="70">
        <f t="shared" si="3"/>
        <v>63</v>
      </c>
      <c r="M54" s="43"/>
      <c r="N54" s="43"/>
    </row>
    <row r="55" spans="2:14" x14ac:dyDescent="0.25">
      <c r="B55" s="53"/>
      <c r="C55" s="147"/>
      <c r="D55" s="147"/>
      <c r="E55" s="16"/>
      <c r="F55" s="27"/>
      <c r="G55" s="70" t="s">
        <v>1556</v>
      </c>
      <c r="H55" s="26"/>
      <c r="J55" s="1"/>
      <c r="K55" s="17"/>
      <c r="L55" s="70" t="str">
        <f t="shared" si="3"/>
        <v/>
      </c>
      <c r="M55" s="43"/>
      <c r="N55" s="43"/>
    </row>
    <row r="56" spans="2:14" ht="26.4" x14ac:dyDescent="0.25">
      <c r="B56" s="53" t="s">
        <v>577</v>
      </c>
      <c r="C56" s="15" t="s">
        <v>576</v>
      </c>
      <c r="D56" s="15"/>
      <c r="E56" s="16" t="s">
        <v>6</v>
      </c>
      <c r="F56" s="16">
        <v>15</v>
      </c>
      <c r="G56" s="72">
        <v>1050</v>
      </c>
      <c r="H56" s="26">
        <f t="shared" ref="H56:H62" si="4">IF(E56="","",F56*G56)</f>
        <v>15750</v>
      </c>
      <c r="J56" s="1"/>
      <c r="K56" s="17">
        <f>3%*G56</f>
        <v>31.5</v>
      </c>
      <c r="L56" s="70">
        <f t="shared" si="3"/>
        <v>472.5</v>
      </c>
      <c r="M56" s="43"/>
      <c r="N56" s="43"/>
    </row>
    <row r="57" spans="2:14" x14ac:dyDescent="0.25">
      <c r="B57" s="53"/>
      <c r="C57" s="73"/>
      <c r="D57" s="73"/>
      <c r="E57" s="16"/>
      <c r="F57" s="16"/>
      <c r="G57" s="72" t="s">
        <v>1556</v>
      </c>
      <c r="H57" s="26" t="str">
        <f t="shared" si="4"/>
        <v/>
      </c>
      <c r="J57" s="1"/>
      <c r="K57" s="17"/>
      <c r="L57" s="70" t="str">
        <f t="shared" si="3"/>
        <v/>
      </c>
      <c r="M57" s="43"/>
      <c r="N57" s="43"/>
    </row>
    <row r="58" spans="2:14" x14ac:dyDescent="0.25">
      <c r="B58" s="53" t="s">
        <v>575</v>
      </c>
      <c r="C58" s="15" t="s">
        <v>574</v>
      </c>
      <c r="D58" s="15"/>
      <c r="E58" s="16"/>
      <c r="F58" s="16"/>
      <c r="G58" s="72" t="s">
        <v>1556</v>
      </c>
      <c r="H58" s="26" t="str">
        <f t="shared" si="4"/>
        <v/>
      </c>
      <c r="J58" s="1"/>
      <c r="K58" s="17"/>
      <c r="L58" s="70" t="str">
        <f t="shared" si="3"/>
        <v/>
      </c>
      <c r="M58" s="43"/>
      <c r="N58" s="43"/>
    </row>
    <row r="59" spans="2:14" x14ac:dyDescent="0.25">
      <c r="B59" s="53"/>
      <c r="C59" s="15"/>
      <c r="D59" s="15"/>
      <c r="E59" s="16"/>
      <c r="F59" s="16"/>
      <c r="G59" s="75" t="s">
        <v>1556</v>
      </c>
      <c r="H59" s="26" t="str">
        <f t="shared" si="4"/>
        <v/>
      </c>
      <c r="J59" s="1"/>
      <c r="K59" s="17"/>
      <c r="L59" s="70" t="str">
        <f t="shared" si="3"/>
        <v/>
      </c>
      <c r="M59" s="43"/>
      <c r="N59" s="43"/>
    </row>
    <row r="60" spans="2:14" ht="66" x14ac:dyDescent="0.25">
      <c r="B60" s="53" t="s">
        <v>573</v>
      </c>
      <c r="C60" s="15" t="s">
        <v>572</v>
      </c>
      <c r="D60" s="494" t="s">
        <v>1602</v>
      </c>
      <c r="E60" s="23" t="s">
        <v>34</v>
      </c>
      <c r="F60" s="16">
        <v>35</v>
      </c>
      <c r="G60" s="72">
        <v>2625</v>
      </c>
      <c r="H60" s="18">
        <f t="shared" si="4"/>
        <v>91875</v>
      </c>
      <c r="J60" s="1"/>
      <c r="K60" s="447">
        <v>703.2</v>
      </c>
      <c r="L60" s="70">
        <f t="shared" si="3"/>
        <v>24612</v>
      </c>
      <c r="M60" s="43"/>
      <c r="N60" s="43"/>
    </row>
    <row r="61" spans="2:14" x14ac:dyDescent="0.25">
      <c r="B61" s="53"/>
      <c r="C61" s="15"/>
      <c r="D61" s="15"/>
      <c r="E61" s="16"/>
      <c r="F61" s="16"/>
      <c r="G61" s="72" t="s">
        <v>1556</v>
      </c>
      <c r="H61" s="18" t="str">
        <f t="shared" si="4"/>
        <v/>
      </c>
      <c r="J61" s="1"/>
      <c r="K61" s="17"/>
      <c r="L61" s="70" t="str">
        <f t="shared" si="3"/>
        <v/>
      </c>
      <c r="M61" s="43"/>
      <c r="N61" s="43"/>
    </row>
    <row r="62" spans="2:14" ht="26.4" x14ac:dyDescent="0.25">
      <c r="B62" s="53" t="s">
        <v>571</v>
      </c>
      <c r="C62" s="15" t="s">
        <v>570</v>
      </c>
      <c r="D62" s="15"/>
      <c r="E62" s="23" t="s">
        <v>80</v>
      </c>
      <c r="F62" s="16">
        <v>40</v>
      </c>
      <c r="G62" s="72">
        <v>289</v>
      </c>
      <c r="H62" s="18">
        <f t="shared" si="4"/>
        <v>11560</v>
      </c>
      <c r="J62" s="1"/>
      <c r="K62" s="448">
        <v>111</v>
      </c>
      <c r="L62" s="70">
        <f t="shared" si="3"/>
        <v>4440</v>
      </c>
      <c r="M62" s="43"/>
      <c r="N62" s="43"/>
    </row>
    <row r="63" spans="2:14" s="31" customFormat="1" ht="19.5" customHeight="1" x14ac:dyDescent="0.25">
      <c r="B63" s="151" t="str">
        <f>$B$10</f>
        <v>C3.2</v>
      </c>
      <c r="C63" s="33" t="s">
        <v>12</v>
      </c>
      <c r="D63" s="33"/>
      <c r="E63" s="34"/>
      <c r="F63" s="35"/>
      <c r="G63" s="34"/>
      <c r="H63" s="36">
        <f>SUM(H10:H62)</f>
        <v>2451606</v>
      </c>
      <c r="I63" s="37"/>
      <c r="J63" s="1"/>
      <c r="K63" s="17"/>
      <c r="L63" s="70" t="str">
        <f t="shared" si="3"/>
        <v/>
      </c>
      <c r="M63" s="43"/>
      <c r="N63" s="43"/>
    </row>
    <row r="64" spans="2:14" s="1" customFormat="1" x14ac:dyDescent="0.25">
      <c r="B64" s="498" t="str">
        <f>Client1</f>
        <v>Province of KwaZulu-Natal</v>
      </c>
      <c r="C64" s="498"/>
      <c r="D64" s="498"/>
      <c r="E64" s="498"/>
      <c r="F64" s="496" t="str">
        <f>"Contract No. "&amp;ContractNo</f>
        <v>Contract No. ZNB02215/00000/00/HOD/INF/23/T</v>
      </c>
      <c r="G64" s="496"/>
      <c r="H64" s="496"/>
      <c r="I64" s="5"/>
      <c r="K64" s="17"/>
      <c r="L64" s="70" t="str">
        <f t="shared" si="3"/>
        <v/>
      </c>
      <c r="M64" s="43"/>
      <c r="N64" s="43"/>
    </row>
    <row r="65" spans="2:14" s="1" customFormat="1" x14ac:dyDescent="0.25">
      <c r="B65" s="498" t="str">
        <f>Client2</f>
        <v>Department of Transport</v>
      </c>
      <c r="C65" s="498"/>
      <c r="D65" s="498"/>
      <c r="E65" s="498"/>
      <c r="F65" s="496"/>
      <c r="G65" s="496"/>
      <c r="H65" s="496"/>
      <c r="I65" s="5"/>
      <c r="K65" s="17"/>
      <c r="L65" s="70" t="str">
        <f t="shared" si="3"/>
        <v/>
      </c>
      <c r="M65" s="43"/>
      <c r="N65" s="43"/>
    </row>
    <row r="66" spans="2:14" s="1" customFormat="1" x14ac:dyDescent="0.25">
      <c r="B66" s="499"/>
      <c r="C66" s="499"/>
      <c r="D66" s="499"/>
      <c r="E66" s="499"/>
      <c r="F66" s="497"/>
      <c r="G66" s="497"/>
      <c r="H66" s="497"/>
      <c r="I66" s="5"/>
      <c r="K66" s="17"/>
      <c r="L66" s="70" t="str">
        <f t="shared" si="3"/>
        <v/>
      </c>
      <c r="M66" s="43"/>
      <c r="N66" s="43"/>
    </row>
    <row r="67" spans="2:14" s="1" customFormat="1" x14ac:dyDescent="0.25">
      <c r="B67" s="507" t="s">
        <v>8</v>
      </c>
      <c r="C67" s="508"/>
      <c r="D67" s="508"/>
      <c r="E67" s="508"/>
      <c r="F67" s="508"/>
      <c r="G67" s="508"/>
      <c r="H67" s="509" t="str">
        <f>$H$5</f>
        <v>CHAPTER C3.2</v>
      </c>
      <c r="I67" s="6"/>
      <c r="K67" s="17"/>
      <c r="L67" s="70" t="str">
        <f t="shared" si="3"/>
        <v/>
      </c>
      <c r="M67" s="43"/>
      <c r="N67" s="43"/>
    </row>
    <row r="68" spans="2:14" s="1" customFormat="1" x14ac:dyDescent="0.25">
      <c r="B68" s="500" t="str">
        <f>ContractDescription</f>
        <v>UPGRADING OF MAIN ROAD P8/3 FROM GRAVEL TO BLACKTOP BETWEEN KM 17.560 AND KM 24.221 IN THE PIETERMARITZBURG REGION</v>
      </c>
      <c r="C68" s="501"/>
      <c r="D68" s="501"/>
      <c r="E68" s="501"/>
      <c r="F68" s="501"/>
      <c r="G68" s="501"/>
      <c r="H68" s="496"/>
      <c r="I68" s="9"/>
      <c r="K68" s="17"/>
      <c r="L68" s="70" t="str">
        <f t="shared" si="3"/>
        <v/>
      </c>
      <c r="M68" s="43"/>
      <c r="N68" s="43"/>
    </row>
    <row r="69" spans="2:14" s="1" customFormat="1" x14ac:dyDescent="0.25">
      <c r="B69" s="500"/>
      <c r="C69" s="501"/>
      <c r="D69" s="501"/>
      <c r="E69" s="501"/>
      <c r="F69" s="501"/>
      <c r="G69" s="501"/>
      <c r="H69" s="496"/>
      <c r="I69" s="9"/>
      <c r="K69" s="17"/>
      <c r="L69" s="70" t="str">
        <f t="shared" si="3"/>
        <v/>
      </c>
      <c r="M69" s="43"/>
      <c r="N69" s="43"/>
    </row>
    <row r="70" spans="2:14" s="1" customFormat="1" x14ac:dyDescent="0.25">
      <c r="B70" s="502"/>
      <c r="C70" s="503"/>
      <c r="D70" s="503"/>
      <c r="E70" s="503"/>
      <c r="F70" s="503"/>
      <c r="G70" s="503"/>
      <c r="H70" s="497"/>
      <c r="I70" s="9"/>
      <c r="K70" s="17"/>
      <c r="L70" s="70" t="str">
        <f t="shared" si="3"/>
        <v/>
      </c>
      <c r="M70" s="43"/>
      <c r="N70" s="43"/>
    </row>
    <row r="71" spans="2:14" s="10" customFormat="1" ht="25.2" customHeight="1" x14ac:dyDescent="0.25">
      <c r="B71" s="81" t="s">
        <v>0</v>
      </c>
      <c r="C71" s="12" t="s">
        <v>1</v>
      </c>
      <c r="D71" s="12" t="s">
        <v>1602</v>
      </c>
      <c r="E71" s="12" t="s">
        <v>2</v>
      </c>
      <c r="F71" s="12" t="s">
        <v>3</v>
      </c>
      <c r="G71" s="12" t="s">
        <v>4</v>
      </c>
      <c r="H71" s="12" t="s">
        <v>5</v>
      </c>
      <c r="I71" s="13"/>
      <c r="J71" s="1"/>
      <c r="K71" s="17"/>
      <c r="L71" s="70" t="str">
        <f t="shared" si="3"/>
        <v/>
      </c>
      <c r="M71" s="43"/>
      <c r="N71" s="43"/>
    </row>
    <row r="72" spans="2:14" s="31" customFormat="1" ht="20.100000000000001" customHeight="1" x14ac:dyDescent="0.25">
      <c r="B72" s="87"/>
      <c r="C72" s="33" t="s">
        <v>37</v>
      </c>
      <c r="D72" s="33"/>
      <c r="E72" s="34"/>
      <c r="F72" s="35"/>
      <c r="G72" s="34"/>
      <c r="H72" s="36">
        <f>H63</f>
        <v>2451606</v>
      </c>
      <c r="I72" s="37"/>
      <c r="J72" s="1"/>
      <c r="K72" s="17"/>
      <c r="L72" s="70" t="str">
        <f t="shared" si="3"/>
        <v/>
      </c>
      <c r="M72" s="43"/>
      <c r="N72" s="43"/>
    </row>
    <row r="73" spans="2:14" x14ac:dyDescent="0.25">
      <c r="B73" s="53"/>
      <c r="C73" s="147"/>
      <c r="D73" s="147"/>
      <c r="E73" s="16"/>
      <c r="F73" s="27"/>
      <c r="G73" s="17"/>
      <c r="H73" s="26"/>
      <c r="J73" s="1"/>
      <c r="K73" s="17"/>
      <c r="L73" s="70" t="str">
        <f t="shared" si="3"/>
        <v/>
      </c>
      <c r="M73" s="43"/>
      <c r="N73" s="43"/>
    </row>
    <row r="74" spans="2:14" x14ac:dyDescent="0.25">
      <c r="B74" s="53" t="s">
        <v>569</v>
      </c>
      <c r="C74" s="29" t="s">
        <v>445</v>
      </c>
      <c r="D74" s="147"/>
      <c r="E74" s="69"/>
      <c r="F74" s="27"/>
      <c r="G74" s="70"/>
      <c r="H74" s="26" t="str">
        <f t="shared" ref="H74:H104" si="5">IF(E74="","",F74*G74)</f>
        <v/>
      </c>
      <c r="J74" s="1"/>
      <c r="K74" s="17"/>
      <c r="L74" s="70" t="str">
        <f t="shared" si="3"/>
        <v/>
      </c>
      <c r="M74" s="43"/>
      <c r="N74" s="43"/>
    </row>
    <row r="75" spans="2:14" x14ac:dyDescent="0.25">
      <c r="B75" s="53"/>
      <c r="C75" s="28"/>
      <c r="D75" s="146"/>
      <c r="E75" s="69"/>
      <c r="F75" s="27"/>
      <c r="G75" s="70"/>
      <c r="H75" s="26" t="str">
        <f t="shared" si="5"/>
        <v/>
      </c>
      <c r="J75" s="1"/>
      <c r="K75" s="17"/>
      <c r="L75" s="70" t="str">
        <f t="shared" si="3"/>
        <v/>
      </c>
      <c r="M75" s="43"/>
      <c r="N75" s="43"/>
    </row>
    <row r="76" spans="2:14" x14ac:dyDescent="0.25">
      <c r="B76" s="53" t="s">
        <v>568</v>
      </c>
      <c r="C76" s="29" t="s">
        <v>444</v>
      </c>
      <c r="D76" s="147"/>
      <c r="E76" s="69" t="s">
        <v>7</v>
      </c>
      <c r="F76" s="203">
        <v>0.1</v>
      </c>
      <c r="G76" s="72">
        <v>8925</v>
      </c>
      <c r="H76" s="26">
        <f t="shared" si="5"/>
        <v>892.5</v>
      </c>
      <c r="J76" s="1"/>
      <c r="K76" s="448">
        <f>100*_LabourRate</f>
        <v>3982</v>
      </c>
      <c r="L76" s="70">
        <f t="shared" si="3"/>
        <v>398.20000000000005</v>
      </c>
      <c r="M76" s="43"/>
      <c r="N76" s="43"/>
    </row>
    <row r="77" spans="2:14" x14ac:dyDescent="0.25">
      <c r="B77" s="53" t="s">
        <v>567</v>
      </c>
      <c r="C77" s="28"/>
      <c r="D77" s="146"/>
      <c r="E77" s="69"/>
      <c r="F77" s="203"/>
      <c r="G77" s="70" t="s">
        <v>1556</v>
      </c>
      <c r="H77" s="26" t="str">
        <f t="shared" si="5"/>
        <v/>
      </c>
      <c r="J77" s="1"/>
      <c r="K77" s="17"/>
      <c r="L77" s="70" t="str">
        <f t="shared" si="3"/>
        <v/>
      </c>
      <c r="M77" s="43"/>
      <c r="N77" s="43"/>
    </row>
    <row r="78" spans="2:14" x14ac:dyDescent="0.25">
      <c r="B78" s="53" t="s">
        <v>566</v>
      </c>
      <c r="C78" s="78" t="s">
        <v>443</v>
      </c>
      <c r="D78" s="210"/>
      <c r="E78" s="79" t="s">
        <v>7</v>
      </c>
      <c r="F78" s="203">
        <v>0.2</v>
      </c>
      <c r="G78" s="17">
        <v>8925</v>
      </c>
      <c r="H78" s="26">
        <f t="shared" si="5"/>
        <v>1785</v>
      </c>
      <c r="J78" s="1"/>
      <c r="K78" s="448">
        <f>100*_LabourRate</f>
        <v>3982</v>
      </c>
      <c r="L78" s="70">
        <f t="shared" si="3"/>
        <v>796.40000000000009</v>
      </c>
      <c r="M78" s="43"/>
      <c r="N78" s="43"/>
    </row>
    <row r="79" spans="2:14" x14ac:dyDescent="0.25">
      <c r="B79" s="53"/>
      <c r="C79" s="28"/>
      <c r="D79" s="146"/>
      <c r="E79" s="69"/>
      <c r="F79" s="27"/>
      <c r="G79" s="70" t="s">
        <v>1556</v>
      </c>
      <c r="H79" s="26" t="str">
        <f t="shared" si="5"/>
        <v/>
      </c>
      <c r="J79" s="1"/>
      <c r="K79" s="448"/>
      <c r="L79" s="70" t="str">
        <f t="shared" si="3"/>
        <v/>
      </c>
      <c r="M79" s="43"/>
      <c r="N79" s="43"/>
    </row>
    <row r="80" spans="2:14" x14ac:dyDescent="0.25">
      <c r="B80" s="53" t="s">
        <v>565</v>
      </c>
      <c r="C80" s="15" t="s">
        <v>441</v>
      </c>
      <c r="D80" s="494"/>
      <c r="E80" s="16" t="s">
        <v>35</v>
      </c>
      <c r="F80" s="27">
        <v>620</v>
      </c>
      <c r="G80" s="17">
        <v>26</v>
      </c>
      <c r="H80" s="26">
        <f t="shared" si="5"/>
        <v>16120</v>
      </c>
      <c r="J80" s="1"/>
      <c r="K80" s="448">
        <v>3.7</v>
      </c>
      <c r="L80" s="70">
        <f t="shared" si="3"/>
        <v>2294</v>
      </c>
      <c r="M80" s="43"/>
      <c r="N80" s="43"/>
    </row>
    <row r="81" spans="2:14" x14ac:dyDescent="0.25">
      <c r="B81" s="53"/>
      <c r="C81" s="15"/>
      <c r="D81" s="15"/>
      <c r="E81" s="16"/>
      <c r="F81" s="27"/>
      <c r="G81" s="17" t="s">
        <v>1556</v>
      </c>
      <c r="H81" s="26" t="str">
        <f t="shared" si="5"/>
        <v/>
      </c>
      <c r="J81" s="1"/>
      <c r="K81" s="17"/>
      <c r="L81" s="70" t="str">
        <f t="shared" si="3"/>
        <v/>
      </c>
      <c r="M81" s="43"/>
      <c r="N81" s="43"/>
    </row>
    <row r="82" spans="2:14" x14ac:dyDescent="0.25">
      <c r="B82" s="53" t="s">
        <v>564</v>
      </c>
      <c r="C82" s="73" t="s">
        <v>563</v>
      </c>
      <c r="D82" s="73"/>
      <c r="E82" s="74"/>
      <c r="F82" s="16"/>
      <c r="G82" s="72" t="s">
        <v>1556</v>
      </c>
      <c r="H82" s="26" t="str">
        <f t="shared" si="5"/>
        <v/>
      </c>
      <c r="J82" s="1"/>
      <c r="K82" s="17"/>
      <c r="L82" s="70" t="str">
        <f t="shared" si="3"/>
        <v/>
      </c>
      <c r="M82" s="43"/>
      <c r="N82" s="43"/>
    </row>
    <row r="83" spans="2:14" x14ac:dyDescent="0.25">
      <c r="B83" s="53"/>
      <c r="C83" s="15"/>
      <c r="D83" s="15"/>
      <c r="E83" s="16"/>
      <c r="F83" s="16"/>
      <c r="G83" s="72" t="s">
        <v>1556</v>
      </c>
      <c r="H83" s="26" t="str">
        <f t="shared" si="5"/>
        <v/>
      </c>
      <c r="J83" s="1"/>
      <c r="K83" s="17"/>
      <c r="L83" s="70" t="str">
        <f t="shared" si="3"/>
        <v/>
      </c>
      <c r="M83" s="43"/>
      <c r="N83" s="43"/>
    </row>
    <row r="84" spans="2:14" x14ac:dyDescent="0.25">
      <c r="B84" s="53" t="s">
        <v>562</v>
      </c>
      <c r="C84" s="73" t="s">
        <v>1100</v>
      </c>
      <c r="D84" s="73"/>
      <c r="E84" s="16"/>
      <c r="F84" s="16"/>
      <c r="G84" s="72" t="s">
        <v>1556</v>
      </c>
      <c r="H84" s="26"/>
      <c r="J84" s="1"/>
      <c r="K84" s="17"/>
      <c r="L84" s="70" t="str">
        <f t="shared" si="3"/>
        <v/>
      </c>
      <c r="M84" s="43"/>
      <c r="N84" s="43"/>
    </row>
    <row r="85" spans="2:14" x14ac:dyDescent="0.25">
      <c r="B85" s="53"/>
      <c r="C85" s="73"/>
      <c r="D85" s="73"/>
      <c r="E85" s="16"/>
      <c r="F85" s="16"/>
      <c r="G85" s="72" t="s">
        <v>1556</v>
      </c>
      <c r="H85" s="26" t="str">
        <f t="shared" si="5"/>
        <v/>
      </c>
      <c r="J85" s="1"/>
      <c r="K85" s="17"/>
      <c r="L85" s="70" t="str">
        <f t="shared" si="3"/>
        <v/>
      </c>
      <c r="M85" s="43"/>
      <c r="N85" s="43"/>
    </row>
    <row r="86" spans="2:14" x14ac:dyDescent="0.25">
      <c r="B86" s="53"/>
      <c r="C86" s="204" t="s">
        <v>1101</v>
      </c>
      <c r="D86" s="204"/>
      <c r="E86" s="205"/>
      <c r="F86" s="16"/>
      <c r="G86" s="72" t="s">
        <v>1556</v>
      </c>
      <c r="H86" s="26" t="str">
        <f t="shared" si="5"/>
        <v/>
      </c>
      <c r="J86" s="1"/>
      <c r="K86" s="17"/>
      <c r="L86" s="70" t="str">
        <f t="shared" si="3"/>
        <v/>
      </c>
      <c r="M86" s="43"/>
      <c r="N86" s="43"/>
    </row>
    <row r="87" spans="2:14" x14ac:dyDescent="0.25">
      <c r="B87" s="53"/>
      <c r="C87" s="204"/>
      <c r="D87" s="204"/>
      <c r="E87" s="205"/>
      <c r="F87" s="16"/>
      <c r="G87" s="72" t="s">
        <v>1556</v>
      </c>
      <c r="H87" s="26" t="str">
        <f t="shared" si="5"/>
        <v/>
      </c>
      <c r="J87" s="1"/>
      <c r="K87" s="17"/>
      <c r="L87" s="70" t="str">
        <f t="shared" si="3"/>
        <v/>
      </c>
      <c r="M87" s="43"/>
      <c r="N87" s="43"/>
    </row>
    <row r="88" spans="2:14" x14ac:dyDescent="0.25">
      <c r="B88" s="53"/>
      <c r="C88" s="206" t="s">
        <v>1097</v>
      </c>
      <c r="D88" s="494" t="s">
        <v>1602</v>
      </c>
      <c r="E88" s="205" t="s">
        <v>6</v>
      </c>
      <c r="F88" s="16">
        <v>105</v>
      </c>
      <c r="G88" s="72">
        <v>210</v>
      </c>
      <c r="H88" s="26">
        <f t="shared" si="5"/>
        <v>22050</v>
      </c>
      <c r="J88" s="1"/>
      <c r="K88" s="448">
        <f>ROUND(_LabourRate*4,0)</f>
        <v>159</v>
      </c>
      <c r="L88" s="70">
        <f t="shared" si="3"/>
        <v>16695</v>
      </c>
      <c r="M88" s="43"/>
      <c r="N88" s="43"/>
    </row>
    <row r="89" spans="2:14" x14ac:dyDescent="0.25">
      <c r="B89" s="53"/>
      <c r="C89" s="204"/>
      <c r="D89" s="204"/>
      <c r="E89" s="205"/>
      <c r="F89" s="16"/>
      <c r="G89" s="72" t="s">
        <v>1556</v>
      </c>
      <c r="H89" s="26" t="str">
        <f t="shared" si="5"/>
        <v/>
      </c>
      <c r="J89" s="1"/>
      <c r="K89" s="17"/>
      <c r="L89" s="70" t="str">
        <f t="shared" si="3"/>
        <v/>
      </c>
      <c r="M89" s="43"/>
      <c r="N89" s="43"/>
    </row>
    <row r="90" spans="2:14" x14ac:dyDescent="0.25">
      <c r="B90" s="53"/>
      <c r="C90" s="206" t="s">
        <v>1098</v>
      </c>
      <c r="D90" s="494" t="s">
        <v>1602</v>
      </c>
      <c r="E90" s="205" t="s">
        <v>6</v>
      </c>
      <c r="F90" s="16">
        <v>53</v>
      </c>
      <c r="G90" s="72">
        <v>231</v>
      </c>
      <c r="H90" s="26">
        <f t="shared" si="5"/>
        <v>12243</v>
      </c>
      <c r="J90" s="1"/>
      <c r="K90" s="448">
        <f>ROUND(_LabourRate*4,0)</f>
        <v>159</v>
      </c>
      <c r="L90" s="70">
        <f t="shared" si="3"/>
        <v>8427</v>
      </c>
      <c r="M90" s="43"/>
      <c r="N90" s="43"/>
    </row>
    <row r="91" spans="2:14" x14ac:dyDescent="0.25">
      <c r="B91" s="53"/>
      <c r="C91" s="206"/>
      <c r="D91" s="206"/>
      <c r="E91" s="205"/>
      <c r="F91" s="16"/>
      <c r="G91" s="72" t="s">
        <v>1556</v>
      </c>
      <c r="H91" s="26" t="str">
        <f t="shared" si="5"/>
        <v/>
      </c>
      <c r="J91" s="1"/>
      <c r="K91" s="17"/>
      <c r="L91" s="70" t="str">
        <f t="shared" si="3"/>
        <v/>
      </c>
      <c r="M91" s="43"/>
      <c r="N91" s="43"/>
    </row>
    <row r="92" spans="2:14" x14ac:dyDescent="0.25">
      <c r="B92" s="53"/>
      <c r="C92" s="206" t="s">
        <v>1099</v>
      </c>
      <c r="D92" s="494" t="s">
        <v>1602</v>
      </c>
      <c r="E92" s="205" t="s">
        <v>6</v>
      </c>
      <c r="F92" s="16">
        <v>53</v>
      </c>
      <c r="G92" s="72">
        <v>263</v>
      </c>
      <c r="H92" s="26">
        <f t="shared" si="5"/>
        <v>13939</v>
      </c>
      <c r="J92" s="1"/>
      <c r="K92" s="448">
        <f>ROUND(_LabourRate*4,0)</f>
        <v>159</v>
      </c>
      <c r="L92" s="70">
        <f t="shared" si="3"/>
        <v>8427</v>
      </c>
      <c r="M92" s="43"/>
      <c r="N92" s="43"/>
    </row>
    <row r="93" spans="2:14" x14ac:dyDescent="0.25">
      <c r="B93" s="53"/>
      <c r="C93" s="206"/>
      <c r="D93" s="206"/>
      <c r="E93" s="205"/>
      <c r="F93" s="16"/>
      <c r="G93" s="72" t="s">
        <v>1556</v>
      </c>
      <c r="H93" s="26" t="str">
        <f t="shared" si="5"/>
        <v/>
      </c>
      <c r="J93" s="1"/>
      <c r="K93" s="17"/>
      <c r="L93" s="70" t="str">
        <f t="shared" si="3"/>
        <v/>
      </c>
      <c r="M93" s="43"/>
      <c r="N93" s="43"/>
    </row>
    <row r="94" spans="2:14" ht="26.4" x14ac:dyDescent="0.25">
      <c r="B94" s="53" t="s">
        <v>561</v>
      </c>
      <c r="C94" s="15" t="s">
        <v>560</v>
      </c>
      <c r="D94" s="15"/>
      <c r="E94" s="16"/>
      <c r="F94" s="16"/>
      <c r="G94" s="72" t="s">
        <v>1556</v>
      </c>
      <c r="H94" s="26" t="str">
        <f t="shared" si="5"/>
        <v/>
      </c>
      <c r="J94" s="1"/>
      <c r="K94" s="17"/>
      <c r="L94" s="70" t="str">
        <f t="shared" si="3"/>
        <v/>
      </c>
      <c r="M94" s="43"/>
      <c r="N94" s="43"/>
    </row>
    <row r="95" spans="2:14" x14ac:dyDescent="0.25">
      <c r="B95" s="53"/>
      <c r="C95" s="15"/>
      <c r="D95" s="15"/>
      <c r="E95" s="16"/>
      <c r="F95" s="16"/>
      <c r="G95" s="72" t="s">
        <v>1556</v>
      </c>
      <c r="H95" s="26" t="str">
        <f t="shared" si="5"/>
        <v/>
      </c>
      <c r="J95" s="1"/>
      <c r="K95" s="17"/>
      <c r="L95" s="70" t="str">
        <f t="shared" si="3"/>
        <v/>
      </c>
      <c r="M95" s="43"/>
      <c r="N95" s="43"/>
    </row>
    <row r="96" spans="2:14" x14ac:dyDescent="0.25">
      <c r="B96" s="53"/>
      <c r="C96" s="204" t="s">
        <v>1101</v>
      </c>
      <c r="D96" s="204"/>
      <c r="E96" s="205"/>
      <c r="F96" s="16"/>
      <c r="G96" s="72" t="s">
        <v>1556</v>
      </c>
      <c r="H96" s="26" t="str">
        <f t="shared" si="5"/>
        <v/>
      </c>
      <c r="J96" s="1"/>
      <c r="K96" s="17"/>
      <c r="L96" s="70" t="str">
        <f t="shared" si="3"/>
        <v/>
      </c>
      <c r="M96" s="43"/>
      <c r="N96" s="43"/>
    </row>
    <row r="97" spans="2:14" x14ac:dyDescent="0.25">
      <c r="B97" s="53"/>
      <c r="C97" s="204"/>
      <c r="D97" s="204"/>
      <c r="E97" s="205"/>
      <c r="F97" s="16"/>
      <c r="G97" s="72" t="s">
        <v>1556</v>
      </c>
      <c r="H97" s="26" t="str">
        <f t="shared" si="5"/>
        <v/>
      </c>
      <c r="J97" s="1"/>
      <c r="K97" s="17"/>
      <c r="L97" s="70" t="str">
        <f t="shared" si="3"/>
        <v/>
      </c>
      <c r="M97" s="43"/>
      <c r="N97" s="43"/>
    </row>
    <row r="98" spans="2:14" x14ac:dyDescent="0.25">
      <c r="B98" s="53"/>
      <c r="C98" s="206" t="s">
        <v>1097</v>
      </c>
      <c r="D98" s="494" t="s">
        <v>1602</v>
      </c>
      <c r="E98" s="205" t="s">
        <v>6</v>
      </c>
      <c r="F98" s="16">
        <v>40</v>
      </c>
      <c r="G98" s="72">
        <v>210</v>
      </c>
      <c r="H98" s="26">
        <f t="shared" si="5"/>
        <v>8400</v>
      </c>
      <c r="J98" s="1"/>
      <c r="K98" s="455">
        <f>10%*G98</f>
        <v>21</v>
      </c>
      <c r="L98" s="70">
        <f t="shared" si="3"/>
        <v>840</v>
      </c>
      <c r="M98" s="43"/>
      <c r="N98" s="43"/>
    </row>
    <row r="99" spans="2:14" x14ac:dyDescent="0.25">
      <c r="B99" s="53"/>
      <c r="C99" s="204"/>
      <c r="D99" s="204"/>
      <c r="E99" s="205"/>
      <c r="F99" s="16"/>
      <c r="G99" s="72" t="s">
        <v>1556</v>
      </c>
      <c r="H99" s="26" t="str">
        <f t="shared" si="5"/>
        <v/>
      </c>
      <c r="J99" s="1"/>
      <c r="K99" s="17"/>
      <c r="L99" s="70" t="str">
        <f t="shared" si="3"/>
        <v/>
      </c>
      <c r="M99" s="43"/>
      <c r="N99" s="43"/>
    </row>
    <row r="100" spans="2:14" x14ac:dyDescent="0.25">
      <c r="B100" s="53"/>
      <c r="C100" s="206" t="s">
        <v>1098</v>
      </c>
      <c r="D100" s="494" t="s">
        <v>1602</v>
      </c>
      <c r="E100" s="205" t="s">
        <v>6</v>
      </c>
      <c r="F100" s="16">
        <v>30</v>
      </c>
      <c r="G100" s="72">
        <v>231</v>
      </c>
      <c r="H100" s="26">
        <f t="shared" si="5"/>
        <v>6930</v>
      </c>
      <c r="J100" s="1"/>
      <c r="K100" s="455">
        <f>10%*G100</f>
        <v>23.1</v>
      </c>
      <c r="L100" s="70">
        <f t="shared" si="3"/>
        <v>693</v>
      </c>
      <c r="M100" s="43"/>
      <c r="N100" s="43"/>
    </row>
    <row r="101" spans="2:14" x14ac:dyDescent="0.25">
      <c r="B101" s="53"/>
      <c r="C101" s="206"/>
      <c r="D101" s="206"/>
      <c r="E101" s="205"/>
      <c r="F101" s="16"/>
      <c r="G101" s="72" t="s">
        <v>1556</v>
      </c>
      <c r="H101" s="26" t="str">
        <f t="shared" si="5"/>
        <v/>
      </c>
      <c r="J101" s="1"/>
      <c r="K101" s="17"/>
      <c r="L101" s="70" t="str">
        <f t="shared" si="3"/>
        <v/>
      </c>
      <c r="M101" s="43"/>
      <c r="N101" s="43"/>
    </row>
    <row r="102" spans="2:14" x14ac:dyDescent="0.25">
      <c r="B102" s="53"/>
      <c r="C102" s="206" t="s">
        <v>1099</v>
      </c>
      <c r="D102" s="494" t="s">
        <v>1602</v>
      </c>
      <c r="E102" s="205" t="s">
        <v>6</v>
      </c>
      <c r="F102" s="16">
        <v>30</v>
      </c>
      <c r="G102" s="72">
        <v>263</v>
      </c>
      <c r="H102" s="26">
        <f t="shared" si="5"/>
        <v>7890</v>
      </c>
      <c r="J102" s="1"/>
      <c r="K102" s="455">
        <f>10%*G102</f>
        <v>26.3</v>
      </c>
      <c r="L102" s="70">
        <f t="shared" si="3"/>
        <v>789</v>
      </c>
      <c r="M102" s="43"/>
      <c r="N102" s="43"/>
    </row>
    <row r="103" spans="2:14" x14ac:dyDescent="0.25">
      <c r="B103" s="53"/>
      <c r="C103" s="15"/>
      <c r="D103" s="15"/>
      <c r="E103" s="16"/>
      <c r="F103" s="16"/>
      <c r="G103" s="72" t="s">
        <v>1556</v>
      </c>
      <c r="H103" s="26" t="str">
        <f t="shared" si="5"/>
        <v/>
      </c>
      <c r="J103" s="1"/>
      <c r="K103" s="17"/>
      <c r="L103" s="70" t="str">
        <f t="shared" si="3"/>
        <v/>
      </c>
      <c r="M103" s="43"/>
      <c r="N103" s="43"/>
    </row>
    <row r="104" spans="2:14" x14ac:dyDescent="0.25">
      <c r="B104" s="53" t="s">
        <v>559</v>
      </c>
      <c r="C104" s="15" t="s">
        <v>558</v>
      </c>
      <c r="D104" s="15"/>
      <c r="E104" s="16"/>
      <c r="F104" s="27"/>
      <c r="G104" s="17" t="s">
        <v>1556</v>
      </c>
      <c r="H104" s="26" t="str">
        <f t="shared" si="5"/>
        <v/>
      </c>
      <c r="J104" s="1"/>
      <c r="K104" s="17"/>
      <c r="L104" s="70" t="str">
        <f t="shared" si="3"/>
        <v/>
      </c>
      <c r="M104" s="43"/>
      <c r="N104" s="43"/>
    </row>
    <row r="105" spans="2:14" x14ac:dyDescent="0.25">
      <c r="B105" s="53"/>
      <c r="C105" s="73"/>
      <c r="D105" s="73"/>
      <c r="E105" s="74"/>
      <c r="F105" s="27"/>
      <c r="G105" s="72" t="s">
        <v>1556</v>
      </c>
      <c r="H105" s="26" t="str">
        <f t="shared" ref="H105:H122" si="6">IF(E105="","",F105*G105)</f>
        <v/>
      </c>
      <c r="J105" s="1"/>
      <c r="K105" s="17"/>
      <c r="L105" s="70" t="str">
        <f t="shared" si="3"/>
        <v/>
      </c>
      <c r="M105" s="43"/>
      <c r="N105" s="43"/>
    </row>
    <row r="106" spans="2:14" ht="13.8" x14ac:dyDescent="0.3">
      <c r="B106" s="53" t="s">
        <v>557</v>
      </c>
      <c r="C106" s="15" t="s">
        <v>556</v>
      </c>
      <c r="D106" s="494" t="s">
        <v>1602</v>
      </c>
      <c r="E106" s="16" t="s">
        <v>600</v>
      </c>
      <c r="F106" s="27">
        <v>15</v>
      </c>
      <c r="G106" s="72">
        <v>420</v>
      </c>
      <c r="H106" s="26">
        <f t="shared" si="6"/>
        <v>6300</v>
      </c>
      <c r="J106" s="1"/>
      <c r="K106" s="17">
        <v>237</v>
      </c>
      <c r="L106" s="70">
        <f t="shared" si="3"/>
        <v>3555</v>
      </c>
      <c r="M106" s="43"/>
      <c r="N106" s="43"/>
    </row>
    <row r="107" spans="2:14" x14ac:dyDescent="0.25">
      <c r="B107" s="53"/>
      <c r="C107" s="15"/>
      <c r="D107" s="15"/>
      <c r="E107" s="16"/>
      <c r="F107" s="27"/>
      <c r="G107" s="72" t="s">
        <v>1556</v>
      </c>
      <c r="H107" s="26" t="str">
        <f t="shared" si="6"/>
        <v/>
      </c>
      <c r="J107" s="1"/>
      <c r="K107" s="17"/>
      <c r="L107" s="70" t="str">
        <f t="shared" si="3"/>
        <v/>
      </c>
      <c r="M107" s="43"/>
      <c r="N107" s="43"/>
    </row>
    <row r="108" spans="2:14" ht="13.8" x14ac:dyDescent="0.3">
      <c r="B108" s="53" t="s">
        <v>555</v>
      </c>
      <c r="C108" s="15" t="s">
        <v>554</v>
      </c>
      <c r="D108" s="494" t="s">
        <v>1602</v>
      </c>
      <c r="E108" s="16" t="s">
        <v>600</v>
      </c>
      <c r="F108" s="27">
        <v>367</v>
      </c>
      <c r="G108" s="72">
        <v>683</v>
      </c>
      <c r="H108" s="26">
        <f t="shared" si="6"/>
        <v>250661</v>
      </c>
      <c r="J108" s="1"/>
      <c r="K108" s="17">
        <v>355.5</v>
      </c>
      <c r="L108" s="70">
        <f t="shared" si="3"/>
        <v>130468.5</v>
      </c>
      <c r="M108" s="43"/>
      <c r="N108" s="43"/>
    </row>
    <row r="109" spans="2:14" x14ac:dyDescent="0.25">
      <c r="B109" s="53"/>
      <c r="C109" s="73"/>
      <c r="D109" s="73"/>
      <c r="E109" s="16"/>
      <c r="F109" s="27"/>
      <c r="G109" s="72" t="s">
        <v>1556</v>
      </c>
      <c r="H109" s="26" t="str">
        <f t="shared" si="6"/>
        <v/>
      </c>
      <c r="J109" s="1"/>
      <c r="K109" s="17"/>
      <c r="L109" s="70" t="str">
        <f t="shared" si="3"/>
        <v/>
      </c>
      <c r="M109" s="43"/>
      <c r="N109" s="43"/>
    </row>
    <row r="110" spans="2:14" ht="13.8" x14ac:dyDescent="0.3">
      <c r="B110" s="53" t="s">
        <v>553</v>
      </c>
      <c r="C110" s="15" t="s">
        <v>552</v>
      </c>
      <c r="D110" s="494" t="s">
        <v>1602</v>
      </c>
      <c r="E110" s="16" t="s">
        <v>600</v>
      </c>
      <c r="F110" s="27">
        <v>20</v>
      </c>
      <c r="G110" s="72">
        <v>945</v>
      </c>
      <c r="H110" s="26">
        <f t="shared" si="6"/>
        <v>18900</v>
      </c>
      <c r="J110" s="1"/>
      <c r="K110" s="17">
        <v>474</v>
      </c>
      <c r="L110" s="70">
        <f t="shared" si="3"/>
        <v>9480</v>
      </c>
      <c r="M110" s="43"/>
      <c r="N110" s="43"/>
    </row>
    <row r="111" spans="2:14" x14ac:dyDescent="0.25">
      <c r="B111" s="53"/>
      <c r="C111" s="73"/>
      <c r="D111" s="73"/>
      <c r="E111" s="74"/>
      <c r="F111" s="27"/>
      <c r="G111" s="72" t="s">
        <v>1556</v>
      </c>
      <c r="H111" s="26" t="str">
        <f t="shared" si="6"/>
        <v/>
      </c>
      <c r="J111" s="1"/>
      <c r="K111" s="17"/>
      <c r="L111" s="70" t="str">
        <f t="shared" ref="L111:L129" si="7">IF(K111="","",K111*F111)</f>
        <v/>
      </c>
      <c r="M111" s="43"/>
      <c r="N111" s="43"/>
    </row>
    <row r="112" spans="2:14" ht="16.5" customHeight="1" x14ac:dyDescent="0.3">
      <c r="B112" s="53" t="s">
        <v>551</v>
      </c>
      <c r="C112" s="15" t="s">
        <v>549</v>
      </c>
      <c r="D112" s="494" t="s">
        <v>1602</v>
      </c>
      <c r="E112" s="16" t="s">
        <v>600</v>
      </c>
      <c r="F112" s="16">
        <v>131</v>
      </c>
      <c r="G112" s="72">
        <v>420</v>
      </c>
      <c r="H112" s="26">
        <f t="shared" si="6"/>
        <v>55020</v>
      </c>
      <c r="J112" s="1"/>
      <c r="K112" s="447">
        <v>47</v>
      </c>
      <c r="L112" s="70">
        <f t="shared" si="7"/>
        <v>6157</v>
      </c>
      <c r="M112" s="43"/>
      <c r="N112" s="43"/>
    </row>
    <row r="113" spans="2:14" x14ac:dyDescent="0.25">
      <c r="B113" s="53"/>
      <c r="C113" s="73"/>
      <c r="D113" s="73"/>
      <c r="E113" s="74"/>
      <c r="F113" s="16"/>
      <c r="G113" s="72" t="s">
        <v>1556</v>
      </c>
      <c r="H113" s="26" t="str">
        <f t="shared" si="6"/>
        <v/>
      </c>
      <c r="J113" s="1"/>
      <c r="K113" s="17"/>
      <c r="L113" s="70" t="str">
        <f t="shared" si="7"/>
        <v/>
      </c>
      <c r="M113" s="43"/>
      <c r="N113" s="43"/>
    </row>
    <row r="114" spans="2:14" ht="13.8" x14ac:dyDescent="0.3">
      <c r="B114" s="53" t="s">
        <v>550</v>
      </c>
      <c r="C114" s="15" t="s">
        <v>1102</v>
      </c>
      <c r="D114" s="494" t="s">
        <v>1602</v>
      </c>
      <c r="E114" s="16" t="s">
        <v>600</v>
      </c>
      <c r="F114" s="16">
        <v>16</v>
      </c>
      <c r="G114" s="72">
        <v>368</v>
      </c>
      <c r="H114" s="26">
        <f t="shared" si="6"/>
        <v>5888</v>
      </c>
      <c r="J114" s="1"/>
      <c r="K114" s="447">
        <v>79</v>
      </c>
      <c r="L114" s="70">
        <f t="shared" si="7"/>
        <v>1264</v>
      </c>
      <c r="M114" s="43"/>
      <c r="N114" s="43"/>
    </row>
    <row r="115" spans="2:14" x14ac:dyDescent="0.25">
      <c r="B115" s="53"/>
      <c r="C115" s="73"/>
      <c r="D115" s="73"/>
      <c r="E115" s="16"/>
      <c r="F115" s="16"/>
      <c r="G115" s="72" t="s">
        <v>1556</v>
      </c>
      <c r="H115" s="26" t="str">
        <f t="shared" si="6"/>
        <v/>
      </c>
      <c r="J115" s="1"/>
      <c r="K115" s="17"/>
      <c r="L115" s="70" t="str">
        <f t="shared" si="7"/>
        <v/>
      </c>
      <c r="M115" s="43"/>
      <c r="N115" s="43"/>
    </row>
    <row r="116" spans="2:14" x14ac:dyDescent="0.25">
      <c r="B116" s="53" t="s">
        <v>548</v>
      </c>
      <c r="C116" s="15" t="s">
        <v>547</v>
      </c>
      <c r="D116" s="15"/>
      <c r="E116" s="16"/>
      <c r="F116" s="16"/>
      <c r="G116" s="72" t="s">
        <v>1556</v>
      </c>
      <c r="H116" s="26" t="str">
        <f t="shared" si="6"/>
        <v/>
      </c>
      <c r="J116" s="1"/>
      <c r="K116" s="17"/>
      <c r="L116" s="70" t="str">
        <f t="shared" si="7"/>
        <v/>
      </c>
      <c r="M116" s="43"/>
      <c r="N116" s="43"/>
    </row>
    <row r="117" spans="2:14" x14ac:dyDescent="0.25">
      <c r="B117" s="53"/>
      <c r="C117" s="15"/>
      <c r="D117" s="15"/>
      <c r="E117" s="16"/>
      <c r="F117" s="16"/>
      <c r="G117" s="72" t="s">
        <v>1556</v>
      </c>
      <c r="H117" s="26" t="str">
        <f t="shared" si="6"/>
        <v/>
      </c>
      <c r="J117" s="1"/>
      <c r="K117" s="17"/>
      <c r="L117" s="70" t="str">
        <f t="shared" si="7"/>
        <v/>
      </c>
      <c r="M117" s="43"/>
      <c r="N117" s="43"/>
    </row>
    <row r="118" spans="2:14" x14ac:dyDescent="0.25">
      <c r="B118" s="53" t="s">
        <v>546</v>
      </c>
      <c r="C118" s="15" t="s">
        <v>1103</v>
      </c>
      <c r="D118" s="15"/>
      <c r="E118" s="16" t="s">
        <v>44</v>
      </c>
      <c r="F118" s="16">
        <v>9</v>
      </c>
      <c r="G118" s="72">
        <v>420</v>
      </c>
      <c r="H118" s="26">
        <f t="shared" si="6"/>
        <v>3780</v>
      </c>
      <c r="J118" s="1"/>
      <c r="K118" s="17"/>
      <c r="L118" s="70" t="str">
        <f t="shared" si="7"/>
        <v/>
      </c>
      <c r="M118" s="43"/>
      <c r="N118" s="43"/>
    </row>
    <row r="119" spans="2:14" x14ac:dyDescent="0.25">
      <c r="B119" s="53"/>
      <c r="C119" s="29"/>
      <c r="D119" s="147"/>
      <c r="E119" s="69"/>
      <c r="F119" s="27"/>
      <c r="G119" s="70" t="s">
        <v>1556</v>
      </c>
      <c r="H119" s="26" t="str">
        <f t="shared" si="6"/>
        <v/>
      </c>
      <c r="J119" s="1"/>
      <c r="K119" s="17"/>
      <c r="L119" s="70" t="str">
        <f t="shared" si="7"/>
        <v/>
      </c>
      <c r="M119" s="43"/>
      <c r="N119" s="43"/>
    </row>
    <row r="120" spans="2:14" ht="26.4" x14ac:dyDescent="0.25">
      <c r="B120" s="53" t="s">
        <v>545</v>
      </c>
      <c r="C120" s="15" t="s">
        <v>544</v>
      </c>
      <c r="D120" s="15"/>
      <c r="E120" s="16"/>
      <c r="F120" s="27"/>
      <c r="G120" s="17" t="s">
        <v>1556</v>
      </c>
      <c r="H120" s="26" t="str">
        <f t="shared" si="6"/>
        <v/>
      </c>
      <c r="J120" s="1"/>
      <c r="K120" s="17"/>
      <c r="L120" s="70" t="str">
        <f t="shared" si="7"/>
        <v/>
      </c>
      <c r="M120" s="43"/>
      <c r="N120" s="43"/>
    </row>
    <row r="121" spans="2:14" x14ac:dyDescent="0.25">
      <c r="B121" s="53"/>
      <c r="C121" s="15"/>
      <c r="D121" s="15"/>
      <c r="E121" s="16"/>
      <c r="F121" s="27"/>
      <c r="G121" s="17" t="s">
        <v>1556</v>
      </c>
      <c r="H121" s="26" t="str">
        <f t="shared" si="6"/>
        <v/>
      </c>
      <c r="J121" s="1"/>
      <c r="K121" s="17"/>
      <c r="L121" s="70" t="str">
        <f t="shared" si="7"/>
        <v/>
      </c>
      <c r="M121" s="43"/>
      <c r="N121" s="43"/>
    </row>
    <row r="122" spans="2:14" ht="26.4" x14ac:dyDescent="0.25">
      <c r="B122" s="53" t="s">
        <v>543</v>
      </c>
      <c r="C122" s="73" t="s">
        <v>1104</v>
      </c>
      <c r="D122" s="73"/>
      <c r="E122" s="74" t="s">
        <v>601</v>
      </c>
      <c r="F122" s="27">
        <v>15</v>
      </c>
      <c r="G122" s="72">
        <v>189</v>
      </c>
      <c r="H122" s="26">
        <f t="shared" si="6"/>
        <v>2835</v>
      </c>
      <c r="J122" s="1"/>
      <c r="K122" s="17">
        <f>_Wacker</f>
        <v>13.3</v>
      </c>
      <c r="L122" s="70">
        <f t="shared" si="7"/>
        <v>199.5</v>
      </c>
      <c r="M122" s="43"/>
      <c r="N122" s="43"/>
    </row>
    <row r="123" spans="2:14" x14ac:dyDescent="0.25">
      <c r="B123" s="53"/>
      <c r="C123" s="15"/>
      <c r="D123" s="15"/>
      <c r="E123" s="23"/>
      <c r="F123" s="24"/>
      <c r="G123" s="25" t="s">
        <v>1556</v>
      </c>
      <c r="H123" s="26"/>
      <c r="J123" s="1"/>
      <c r="K123" s="17"/>
      <c r="L123" s="70" t="str">
        <f t="shared" si="7"/>
        <v/>
      </c>
      <c r="M123" s="43"/>
      <c r="N123" s="43"/>
    </row>
    <row r="124" spans="2:14" x14ac:dyDescent="0.25">
      <c r="B124" s="53"/>
      <c r="C124" s="15"/>
      <c r="D124" s="15"/>
      <c r="E124" s="16"/>
      <c r="F124" s="27"/>
      <c r="G124" s="17" t="s">
        <v>1556</v>
      </c>
      <c r="H124" s="26"/>
      <c r="J124" s="1"/>
      <c r="K124" s="17"/>
      <c r="L124" s="70" t="str">
        <f t="shared" si="7"/>
        <v/>
      </c>
      <c r="M124" s="43"/>
      <c r="N124" s="43"/>
    </row>
    <row r="125" spans="2:14" x14ac:dyDescent="0.25">
      <c r="B125" s="53"/>
      <c r="C125" s="29"/>
      <c r="D125" s="147"/>
      <c r="E125" s="69"/>
      <c r="F125" s="27"/>
      <c r="G125" s="70"/>
      <c r="H125" s="26"/>
      <c r="K125" s="17"/>
      <c r="L125" s="70" t="str">
        <f t="shared" si="7"/>
        <v/>
      </c>
      <c r="M125" s="43"/>
      <c r="N125" s="43"/>
    </row>
    <row r="126" spans="2:14" x14ac:dyDescent="0.25">
      <c r="B126" s="53"/>
      <c r="C126" s="15"/>
      <c r="D126" s="15"/>
      <c r="E126" s="16"/>
      <c r="F126" s="27"/>
      <c r="G126" s="17"/>
      <c r="H126" s="26"/>
      <c r="K126" s="17"/>
      <c r="L126" s="70" t="str">
        <f t="shared" si="7"/>
        <v/>
      </c>
      <c r="M126" s="43"/>
      <c r="N126" s="43"/>
    </row>
    <row r="127" spans="2:14" x14ac:dyDescent="0.25">
      <c r="B127" s="53"/>
      <c r="C127" s="15"/>
      <c r="D127" s="15"/>
      <c r="E127" s="16"/>
      <c r="F127" s="27"/>
      <c r="G127" s="17"/>
      <c r="H127" s="26"/>
      <c r="K127" s="17"/>
      <c r="L127" s="70" t="str">
        <f t="shared" si="7"/>
        <v/>
      </c>
      <c r="M127" s="43"/>
      <c r="N127" s="43"/>
    </row>
    <row r="128" spans="2:14" x14ac:dyDescent="0.25">
      <c r="B128" s="53"/>
      <c r="C128" s="15"/>
      <c r="D128" s="15"/>
      <c r="E128" s="16"/>
      <c r="F128" s="27"/>
      <c r="G128" s="17"/>
      <c r="H128" s="26"/>
      <c r="K128" s="17"/>
      <c r="L128" s="70" t="str">
        <f t="shared" si="7"/>
        <v/>
      </c>
      <c r="M128" s="43"/>
      <c r="N128" s="43"/>
    </row>
    <row r="129" spans="2:14" x14ac:dyDescent="0.25">
      <c r="B129" s="53"/>
      <c r="C129" s="15"/>
      <c r="D129" s="15"/>
      <c r="E129" s="16"/>
      <c r="F129" s="27"/>
      <c r="G129" s="17"/>
      <c r="H129" s="26"/>
      <c r="K129" s="17"/>
      <c r="L129" s="70" t="str">
        <f t="shared" si="7"/>
        <v/>
      </c>
      <c r="M129" s="43"/>
      <c r="N129" s="43"/>
    </row>
    <row r="130" spans="2:14" s="31" customFormat="1" ht="19.5" customHeight="1" x14ac:dyDescent="0.25">
      <c r="B130" s="151" t="str">
        <f>$B$10</f>
        <v>C3.2</v>
      </c>
      <c r="C130" s="33" t="s">
        <v>957</v>
      </c>
      <c r="D130" s="33"/>
      <c r="E130" s="34"/>
      <c r="F130" s="35"/>
      <c r="G130" s="34"/>
      <c r="H130" s="36">
        <f>SUM(H72:H129)</f>
        <v>2885239.5</v>
      </c>
      <c r="I130" s="37"/>
      <c r="K130" s="454"/>
      <c r="L130" s="36">
        <f>SUM(L72:L129)</f>
        <v>190483.6</v>
      </c>
    </row>
  </sheetData>
  <mergeCells count="11">
    <mergeCell ref="F2:H2"/>
    <mergeCell ref="B6:G8"/>
    <mergeCell ref="H5:H8"/>
    <mergeCell ref="B5:G5"/>
    <mergeCell ref="B67:G67"/>
    <mergeCell ref="H67:H70"/>
    <mergeCell ref="B68:G70"/>
    <mergeCell ref="B64:E64"/>
    <mergeCell ref="F64:H66"/>
    <mergeCell ref="B65:E65"/>
    <mergeCell ref="B66:E66"/>
  </mergeCells>
  <printOptions horizontalCentered="1"/>
  <pageMargins left="0.43307086614173229" right="0.31496062992125984" top="0.43307086614173229" bottom="0.62992125984251968" header="0.35433070866141736" footer="0.31496062992125984"/>
  <pageSetup paperSize="9" scale="78"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rowBreaks count="1" manualBreakCount="1">
    <brk id="63" max="7"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C10DB-A040-440D-AD04-83082D7B8AE4}">
  <sheetPr codeName="Sheet10">
    <tabColor rgb="FF92D050"/>
  </sheetPr>
  <dimension ref="A1:N121"/>
  <sheetViews>
    <sheetView view="pageBreakPreview" topLeftCell="A78" zoomScaleNormal="100" zoomScaleSheetLayoutView="100" workbookViewId="0">
      <selection activeCell="L25" sqref="L25"/>
    </sheetView>
  </sheetViews>
  <sheetFormatPr defaultColWidth="6.6640625" defaultRowHeight="13.2" x14ac:dyDescent="0.25"/>
  <cols>
    <col min="1" max="1" width="0.6640625" style="39" customWidth="1"/>
    <col min="2" max="2" width="11.5546875" style="39" customWidth="1"/>
    <col min="3" max="3" width="45.5546875" style="39" customWidth="1"/>
    <col min="4" max="4" width="5.6640625" style="39" customWidth="1"/>
    <col min="5" max="5" width="13.5546875" style="39" customWidth="1"/>
    <col min="6" max="8" width="15.5546875" style="39" customWidth="1"/>
    <col min="9" max="9" width="0.6640625" style="39" customWidth="1"/>
    <col min="10" max="10" width="6.6640625" style="39"/>
    <col min="11" max="11" width="8" style="39" bestFit="1" customWidth="1"/>
    <col min="12" max="12" width="11.6640625" style="39" bestFit="1" customWidth="1"/>
    <col min="13" max="16384" width="6.6640625" style="39"/>
  </cols>
  <sheetData>
    <row r="1" spans="1:14" x14ac:dyDescent="0.25">
      <c r="H1" s="234">
        <f>MAX(H9:H499)</f>
        <v>8370408</v>
      </c>
    </row>
    <row r="2" spans="1:14" x14ac:dyDescent="0.25">
      <c r="A2" s="1"/>
      <c r="B2" s="2" t="str">
        <f>Client1</f>
        <v>Province of KwaZulu-Natal</v>
      </c>
      <c r="C2" s="3"/>
      <c r="D2" s="3"/>
      <c r="E2" s="4"/>
      <c r="F2" s="510" t="str">
        <f>"Contract No. "&amp;ContractNo</f>
        <v>Contract No. ZNB02215/00000/00/HOD/INF/23/T</v>
      </c>
      <c r="G2" s="510"/>
      <c r="H2" s="510"/>
      <c r="I2" s="5"/>
      <c r="J2" s="1"/>
      <c r="K2" s="451"/>
      <c r="L2" s="451">
        <f>MAX(L3:L244)</f>
        <v>322799.2</v>
      </c>
      <c r="M2" s="402"/>
      <c r="N2" s="403"/>
    </row>
    <row r="3" spans="1:14" x14ac:dyDescent="0.25">
      <c r="A3" s="1"/>
      <c r="B3" s="96" t="str">
        <f>Client2</f>
        <v>Department of Transport</v>
      </c>
      <c r="C3" s="3"/>
      <c r="D3" s="3"/>
      <c r="E3" s="4"/>
      <c r="F3" s="4"/>
      <c r="G3" s="1"/>
      <c r="H3" s="5"/>
      <c r="I3" s="5"/>
      <c r="J3" s="1"/>
      <c r="K3" s="39" t="s">
        <v>1421</v>
      </c>
      <c r="L3" s="39" t="s">
        <v>1422</v>
      </c>
      <c r="M3" s="1" t="s">
        <v>1423</v>
      </c>
      <c r="N3" s="1" t="s">
        <v>1424</v>
      </c>
    </row>
    <row r="4" spans="1:14" x14ac:dyDescent="0.25">
      <c r="A4" s="1"/>
      <c r="B4" s="84"/>
      <c r="C4" s="84"/>
      <c r="D4" s="84"/>
      <c r="E4" s="85"/>
      <c r="F4" s="85"/>
      <c r="G4" s="86"/>
      <c r="H4" s="98"/>
      <c r="I4" s="5"/>
      <c r="J4" s="1"/>
      <c r="K4" s="452"/>
      <c r="L4" s="452"/>
      <c r="M4" s="86"/>
      <c r="N4" s="86"/>
    </row>
    <row r="5" spans="1:14" x14ac:dyDescent="0.25">
      <c r="A5" s="1"/>
      <c r="B5" s="507" t="s">
        <v>8</v>
      </c>
      <c r="C5" s="508"/>
      <c r="D5" s="508"/>
      <c r="E5" s="508"/>
      <c r="F5" s="508"/>
      <c r="G5" s="508"/>
      <c r="H5" s="519" t="str">
        <f>"CHAPTER "&amp;B11</f>
        <v>CHAPTER C3.3</v>
      </c>
      <c r="I5" s="6"/>
      <c r="J5" s="1"/>
      <c r="M5" s="1"/>
      <c r="N5" s="1"/>
    </row>
    <row r="6" spans="1:14" ht="7.5" customHeight="1" x14ac:dyDescent="0.25">
      <c r="A6" s="1"/>
      <c r="B6" s="500" t="str">
        <f>ContractDescription</f>
        <v>UPGRADING OF MAIN ROAD P8/3 FROM GRAVEL TO BLACKTOP BETWEEN KM 17.560 AND KM 24.221 IN THE PIETERMARITZBURG REGION</v>
      </c>
      <c r="C6" s="501"/>
      <c r="D6" s="501"/>
      <c r="E6" s="501"/>
      <c r="F6" s="501"/>
      <c r="G6" s="501"/>
      <c r="H6" s="520"/>
      <c r="I6" s="9"/>
      <c r="J6" s="1"/>
      <c r="M6" s="1"/>
      <c r="N6" s="1"/>
    </row>
    <row r="7" spans="1:14" ht="12.75" customHeight="1" x14ac:dyDescent="0.25">
      <c r="A7" s="1"/>
      <c r="B7" s="500"/>
      <c r="C7" s="501"/>
      <c r="D7" s="501"/>
      <c r="E7" s="501"/>
      <c r="F7" s="501"/>
      <c r="G7" s="501"/>
      <c r="H7" s="520"/>
      <c r="I7" s="9"/>
      <c r="J7" s="1"/>
      <c r="M7" s="1"/>
      <c r="N7" s="1"/>
    </row>
    <row r="8" spans="1:14" ht="7.5" customHeight="1" x14ac:dyDescent="0.25">
      <c r="A8" s="1"/>
      <c r="B8" s="502"/>
      <c r="C8" s="503"/>
      <c r="D8" s="503"/>
      <c r="E8" s="503"/>
      <c r="F8" s="503"/>
      <c r="G8" s="503"/>
      <c r="H8" s="521"/>
      <c r="I8" s="9"/>
      <c r="J8" s="1"/>
      <c r="M8" s="1"/>
      <c r="N8" s="1"/>
    </row>
    <row r="9" spans="1:14" ht="25.2" customHeight="1" x14ac:dyDescent="0.25">
      <c r="A9" s="10"/>
      <c r="B9" s="11" t="s">
        <v>0</v>
      </c>
      <c r="C9" s="12" t="s">
        <v>1</v>
      </c>
      <c r="D9" s="12" t="s">
        <v>1602</v>
      </c>
      <c r="E9" s="12" t="s">
        <v>2</v>
      </c>
      <c r="F9" s="12" t="s">
        <v>3</v>
      </c>
      <c r="G9" s="12" t="s">
        <v>4</v>
      </c>
      <c r="H9" s="12" t="s">
        <v>5</v>
      </c>
      <c r="I9" s="13"/>
      <c r="J9" s="10"/>
      <c r="K9" s="453"/>
      <c r="L9" s="453"/>
      <c r="M9" s="12"/>
      <c r="N9" s="12"/>
    </row>
    <row r="10" spans="1:14" x14ac:dyDescent="0.25">
      <c r="A10" s="1"/>
      <c r="B10" s="53"/>
      <c r="C10" s="15"/>
      <c r="D10" s="15"/>
      <c r="E10" s="16"/>
      <c r="F10" s="16"/>
      <c r="G10" s="17"/>
      <c r="H10" s="26" t="str">
        <f t="shared" ref="H10:H25" si="0">IF(E10="","",F10*G10)</f>
        <v/>
      </c>
      <c r="I10" s="19"/>
      <c r="J10" s="1"/>
      <c r="K10" s="17"/>
      <c r="L10" s="17"/>
      <c r="M10" s="17"/>
      <c r="N10" s="17"/>
    </row>
    <row r="11" spans="1:14" ht="52.8" x14ac:dyDescent="0.25">
      <c r="A11" s="1"/>
      <c r="B11" s="80" t="s">
        <v>474</v>
      </c>
      <c r="C11" s="21" t="s">
        <v>473</v>
      </c>
      <c r="D11" s="21"/>
      <c r="E11" s="16"/>
      <c r="F11" s="16"/>
      <c r="G11" s="17"/>
      <c r="H11" s="26" t="str">
        <f t="shared" si="0"/>
        <v/>
      </c>
      <c r="I11" s="19"/>
      <c r="J11" s="1"/>
      <c r="K11" s="17"/>
      <c r="L11" s="17"/>
      <c r="M11" s="43"/>
      <c r="N11" s="43"/>
    </row>
    <row r="12" spans="1:14" x14ac:dyDescent="0.25">
      <c r="A12" s="1"/>
      <c r="B12" s="53"/>
      <c r="C12" s="15"/>
      <c r="D12" s="15"/>
      <c r="E12" s="16"/>
      <c r="F12" s="16"/>
      <c r="G12" s="17"/>
      <c r="H12" s="26" t="str">
        <f t="shared" si="0"/>
        <v/>
      </c>
      <c r="I12" s="19"/>
      <c r="J12" s="1"/>
      <c r="K12" s="17"/>
      <c r="L12" s="17"/>
      <c r="M12" s="43"/>
      <c r="N12" s="43"/>
    </row>
    <row r="13" spans="1:14" x14ac:dyDescent="0.25">
      <c r="A13" s="1"/>
      <c r="B13" s="66" t="s">
        <v>472</v>
      </c>
      <c r="C13" s="15" t="s">
        <v>471</v>
      </c>
      <c r="D13" s="15"/>
      <c r="E13" s="16"/>
      <c r="F13" s="16"/>
      <c r="G13" s="17"/>
      <c r="H13" s="26" t="str">
        <f t="shared" si="0"/>
        <v/>
      </c>
      <c r="I13" s="19"/>
      <c r="J13" s="1"/>
      <c r="K13" s="356"/>
      <c r="L13" s="70" t="str">
        <f t="shared" ref="L13:L44" si="1">IF(K13="","",K13*F13)</f>
        <v/>
      </c>
      <c r="M13" s="25"/>
      <c r="N13" s="25"/>
    </row>
    <row r="14" spans="1:14" x14ac:dyDescent="0.25">
      <c r="A14" s="1"/>
      <c r="B14" s="66"/>
      <c r="C14" s="15"/>
      <c r="D14" s="15"/>
      <c r="E14" s="16"/>
      <c r="F14" s="16"/>
      <c r="G14" s="207"/>
      <c r="H14" s="26" t="str">
        <f t="shared" si="0"/>
        <v/>
      </c>
      <c r="I14" s="19"/>
      <c r="J14" s="1"/>
      <c r="K14" s="17"/>
      <c r="L14" s="70" t="str">
        <f t="shared" si="1"/>
        <v/>
      </c>
      <c r="M14" s="43"/>
      <c r="N14" s="43"/>
    </row>
    <row r="15" spans="1:14" x14ac:dyDescent="0.25">
      <c r="A15" s="1"/>
      <c r="B15" s="53" t="s">
        <v>470</v>
      </c>
      <c r="C15" s="15" t="s">
        <v>1112</v>
      </c>
      <c r="D15" s="15"/>
      <c r="E15" s="23"/>
      <c r="F15" s="24"/>
      <c r="G15" s="207"/>
      <c r="H15" s="26" t="str">
        <f t="shared" si="0"/>
        <v/>
      </c>
      <c r="I15" s="65"/>
      <c r="J15" s="1"/>
      <c r="K15" s="17"/>
      <c r="L15" s="70" t="str">
        <f t="shared" si="1"/>
        <v/>
      </c>
      <c r="M15" s="43"/>
      <c r="N15" s="43"/>
    </row>
    <row r="16" spans="1:14" x14ac:dyDescent="0.25">
      <c r="A16" s="1"/>
      <c r="B16" s="66"/>
      <c r="C16" s="15"/>
      <c r="D16" s="15"/>
      <c r="E16" s="16"/>
      <c r="F16" s="27"/>
      <c r="G16" s="207"/>
      <c r="H16" s="26" t="str">
        <f t="shared" si="0"/>
        <v/>
      </c>
      <c r="I16" s="19"/>
      <c r="J16" s="1"/>
      <c r="K16" s="17"/>
      <c r="L16" s="70" t="str">
        <f t="shared" si="1"/>
        <v/>
      </c>
      <c r="M16" s="43"/>
      <c r="N16" s="43"/>
    </row>
    <row r="17" spans="1:14" ht="26.4" x14ac:dyDescent="0.25">
      <c r="A17" s="1"/>
      <c r="B17" s="66" t="s">
        <v>49</v>
      </c>
      <c r="C17" s="15" t="s">
        <v>1111</v>
      </c>
      <c r="D17" s="494" t="s">
        <v>1602</v>
      </c>
      <c r="E17" s="16" t="s">
        <v>6</v>
      </c>
      <c r="F17" s="27">
        <v>305</v>
      </c>
      <c r="G17" s="207">
        <v>242</v>
      </c>
      <c r="H17" s="18">
        <f t="shared" si="0"/>
        <v>73810</v>
      </c>
      <c r="I17" s="19"/>
      <c r="J17" s="1"/>
      <c r="K17" s="456">
        <f>_Kerb</f>
        <v>26.033428571428569</v>
      </c>
      <c r="L17" s="70">
        <f t="shared" si="1"/>
        <v>7940.1957142857136</v>
      </c>
      <c r="M17" s="43"/>
      <c r="N17" s="43"/>
    </row>
    <row r="18" spans="1:14" x14ac:dyDescent="0.25">
      <c r="A18" s="1"/>
      <c r="B18" s="66"/>
      <c r="C18" s="28"/>
      <c r="D18" s="146"/>
      <c r="E18" s="69"/>
      <c r="F18" s="27"/>
      <c r="G18" s="207" t="s">
        <v>1556</v>
      </c>
      <c r="H18" s="18" t="str">
        <f t="shared" si="0"/>
        <v/>
      </c>
      <c r="I18" s="71"/>
      <c r="J18" s="1"/>
      <c r="K18" s="17"/>
      <c r="L18" s="70" t="str">
        <f t="shared" si="1"/>
        <v/>
      </c>
      <c r="M18" s="43"/>
      <c r="N18" s="43"/>
    </row>
    <row r="19" spans="1:14" x14ac:dyDescent="0.25">
      <c r="A19" s="1"/>
      <c r="B19" s="66" t="s">
        <v>469</v>
      </c>
      <c r="C19" s="15" t="s">
        <v>1550</v>
      </c>
      <c r="D19" s="15"/>
      <c r="E19" s="16"/>
      <c r="F19" s="27"/>
      <c r="G19" s="207" t="s">
        <v>1556</v>
      </c>
      <c r="H19" s="18" t="str">
        <f t="shared" si="0"/>
        <v/>
      </c>
      <c r="I19" s="65"/>
      <c r="J19" s="1"/>
      <c r="K19" s="17"/>
      <c r="L19" s="70" t="str">
        <f t="shared" si="1"/>
        <v/>
      </c>
      <c r="M19" s="43"/>
      <c r="N19" s="43"/>
    </row>
    <row r="20" spans="1:14" x14ac:dyDescent="0.25">
      <c r="A20" s="1"/>
      <c r="B20" s="66"/>
      <c r="C20" s="15"/>
      <c r="D20" s="15"/>
      <c r="E20" s="16"/>
      <c r="F20" s="27"/>
      <c r="G20" s="207" t="s">
        <v>1556</v>
      </c>
      <c r="H20" s="18" t="str">
        <f t="shared" si="0"/>
        <v/>
      </c>
      <c r="I20" s="19"/>
      <c r="J20" s="1"/>
      <c r="K20" s="17"/>
      <c r="L20" s="70" t="str">
        <f t="shared" si="1"/>
        <v/>
      </c>
      <c r="M20" s="43"/>
      <c r="N20" s="43"/>
    </row>
    <row r="21" spans="1:14" x14ac:dyDescent="0.25">
      <c r="A21" s="1"/>
      <c r="B21" s="66" t="s">
        <v>468</v>
      </c>
      <c r="C21" s="15" t="s">
        <v>1549</v>
      </c>
      <c r="D21" s="15"/>
      <c r="E21" s="16"/>
      <c r="F21" s="27"/>
      <c r="G21" s="207" t="s">
        <v>1556</v>
      </c>
      <c r="H21" s="18" t="str">
        <f t="shared" si="0"/>
        <v/>
      </c>
      <c r="I21" s="19"/>
      <c r="J21" s="1"/>
      <c r="K21" s="17"/>
      <c r="L21" s="70" t="str">
        <f t="shared" si="1"/>
        <v/>
      </c>
      <c r="M21" s="43"/>
      <c r="N21" s="43"/>
    </row>
    <row r="22" spans="1:14" x14ac:dyDescent="0.25">
      <c r="A22" s="1"/>
      <c r="B22" s="66"/>
      <c r="C22" s="15"/>
      <c r="D22" s="15"/>
      <c r="E22" s="16"/>
      <c r="F22" s="27"/>
      <c r="G22" s="207" t="s">
        <v>1556</v>
      </c>
      <c r="H22" s="18" t="str">
        <f t="shared" si="0"/>
        <v/>
      </c>
      <c r="I22" s="19"/>
      <c r="J22" s="1"/>
      <c r="K22" s="17"/>
      <c r="L22" s="70" t="str">
        <f t="shared" si="1"/>
        <v/>
      </c>
      <c r="M22" s="43"/>
      <c r="N22" s="43"/>
    </row>
    <row r="23" spans="1:14" ht="52.8" x14ac:dyDescent="0.25">
      <c r="A23" s="1"/>
      <c r="B23" s="66" t="s">
        <v>49</v>
      </c>
      <c r="C23" s="15" t="s">
        <v>1113</v>
      </c>
      <c r="D23" s="494" t="s">
        <v>1602</v>
      </c>
      <c r="E23" s="16" t="s">
        <v>6</v>
      </c>
      <c r="F23" s="27">
        <v>325</v>
      </c>
      <c r="G23" s="207">
        <v>294</v>
      </c>
      <c r="H23" s="18">
        <f t="shared" si="0"/>
        <v>95550</v>
      </c>
      <c r="I23" s="19"/>
      <c r="J23" s="1"/>
      <c r="K23" s="456">
        <v>56.7</v>
      </c>
      <c r="L23" s="70">
        <f t="shared" si="1"/>
        <v>18427.5</v>
      </c>
      <c r="M23" s="43"/>
      <c r="N23" s="43"/>
    </row>
    <row r="24" spans="1:14" x14ac:dyDescent="0.25">
      <c r="A24" s="1"/>
      <c r="B24" s="66"/>
      <c r="C24" s="15"/>
      <c r="D24" s="15"/>
      <c r="E24" s="16"/>
      <c r="F24" s="27"/>
      <c r="G24" s="207" t="s">
        <v>1556</v>
      </c>
      <c r="H24" s="18" t="str">
        <f t="shared" si="0"/>
        <v/>
      </c>
      <c r="I24" s="19"/>
      <c r="J24" s="1"/>
      <c r="K24" s="17"/>
      <c r="L24" s="70" t="str">
        <f t="shared" si="1"/>
        <v/>
      </c>
      <c r="M24" s="43"/>
      <c r="N24" s="43"/>
    </row>
    <row r="25" spans="1:14" ht="39.6" x14ac:dyDescent="0.25">
      <c r="A25" s="1"/>
      <c r="B25" s="66" t="s">
        <v>467</v>
      </c>
      <c r="C25" s="15" t="s">
        <v>1551</v>
      </c>
      <c r="D25" s="15"/>
      <c r="E25" s="16"/>
      <c r="F25" s="16"/>
      <c r="G25" s="207" t="s">
        <v>1556</v>
      </c>
      <c r="H25" s="18" t="str">
        <f t="shared" si="0"/>
        <v/>
      </c>
      <c r="I25" s="19"/>
      <c r="J25" s="1"/>
      <c r="K25" s="17"/>
      <c r="L25" s="70" t="str">
        <f t="shared" si="1"/>
        <v/>
      </c>
      <c r="M25" s="43"/>
      <c r="N25" s="43"/>
    </row>
    <row r="26" spans="1:14" x14ac:dyDescent="0.25">
      <c r="A26" s="1"/>
      <c r="B26" s="66"/>
      <c r="C26" s="15"/>
      <c r="D26" s="15"/>
      <c r="E26" s="16"/>
      <c r="F26" s="16"/>
      <c r="G26" s="207" t="s">
        <v>1556</v>
      </c>
      <c r="H26" s="18" t="str">
        <f t="shared" ref="H26:H60" si="2">IF(E26="","",F26*G26)</f>
        <v/>
      </c>
      <c r="I26" s="19"/>
      <c r="J26" s="1"/>
      <c r="K26" s="17"/>
      <c r="L26" s="70" t="str">
        <f t="shared" si="1"/>
        <v/>
      </c>
      <c r="M26" s="43"/>
      <c r="N26" s="43"/>
    </row>
    <row r="27" spans="1:14" ht="26.4" x14ac:dyDescent="0.25">
      <c r="A27" s="1"/>
      <c r="B27" s="66" t="s">
        <v>466</v>
      </c>
      <c r="C27" s="15" t="s">
        <v>465</v>
      </c>
      <c r="D27" s="494" t="s">
        <v>1602</v>
      </c>
      <c r="E27" s="16" t="s">
        <v>6</v>
      </c>
      <c r="F27" s="16">
        <v>50</v>
      </c>
      <c r="G27" s="207">
        <v>105</v>
      </c>
      <c r="H27" s="18">
        <f t="shared" si="2"/>
        <v>5250</v>
      </c>
      <c r="I27" s="19"/>
      <c r="J27" s="1"/>
      <c r="K27" s="456">
        <v>56.7</v>
      </c>
      <c r="L27" s="70">
        <f t="shared" si="1"/>
        <v>2835</v>
      </c>
      <c r="M27" s="43"/>
      <c r="N27" s="43"/>
    </row>
    <row r="28" spans="1:14" x14ac:dyDescent="0.25">
      <c r="A28" s="1"/>
      <c r="B28" s="66"/>
      <c r="C28" s="15"/>
      <c r="D28" s="15"/>
      <c r="E28" s="69"/>
      <c r="F28" s="16"/>
      <c r="G28" s="207" t="s">
        <v>1556</v>
      </c>
      <c r="H28" s="18" t="str">
        <f t="shared" si="2"/>
        <v/>
      </c>
      <c r="I28" s="19"/>
      <c r="J28" s="1"/>
      <c r="K28" s="17"/>
      <c r="L28" s="70" t="str">
        <f t="shared" si="1"/>
        <v/>
      </c>
      <c r="M28" s="43"/>
      <c r="N28" s="43"/>
    </row>
    <row r="29" spans="1:14" ht="26.4" x14ac:dyDescent="0.25">
      <c r="A29" s="1"/>
      <c r="B29" s="66" t="s">
        <v>464</v>
      </c>
      <c r="C29" s="29" t="s">
        <v>463</v>
      </c>
      <c r="D29" s="494" t="s">
        <v>1602</v>
      </c>
      <c r="E29" s="69" t="s">
        <v>6</v>
      </c>
      <c r="F29" s="69">
        <v>10</v>
      </c>
      <c r="G29" s="207">
        <v>210</v>
      </c>
      <c r="H29" s="18">
        <f t="shared" si="2"/>
        <v>2100</v>
      </c>
      <c r="I29" s="71"/>
      <c r="J29" s="1"/>
      <c r="K29" s="456">
        <v>56.7</v>
      </c>
      <c r="L29" s="70">
        <f t="shared" si="1"/>
        <v>567</v>
      </c>
      <c r="M29" s="43"/>
      <c r="N29" s="43"/>
    </row>
    <row r="30" spans="1:14" x14ac:dyDescent="0.25">
      <c r="A30" s="1"/>
      <c r="B30" s="66"/>
      <c r="C30" s="15"/>
      <c r="D30" s="15"/>
      <c r="E30" s="16"/>
      <c r="F30" s="16"/>
      <c r="G30" s="207" t="s">
        <v>1556</v>
      </c>
      <c r="H30" s="18" t="str">
        <f t="shared" si="2"/>
        <v/>
      </c>
      <c r="I30" s="19"/>
      <c r="J30" s="1"/>
      <c r="K30" s="17"/>
      <c r="L30" s="70" t="str">
        <f t="shared" si="1"/>
        <v/>
      </c>
      <c r="M30" s="43"/>
      <c r="N30" s="43"/>
    </row>
    <row r="31" spans="1:14" ht="26.4" x14ac:dyDescent="0.25">
      <c r="A31" s="1"/>
      <c r="B31" s="66" t="s">
        <v>462</v>
      </c>
      <c r="C31" s="29" t="s">
        <v>461</v>
      </c>
      <c r="D31" s="494" t="s">
        <v>1602</v>
      </c>
      <c r="E31" s="69" t="s">
        <v>6</v>
      </c>
      <c r="F31" s="69">
        <v>1000</v>
      </c>
      <c r="G31" s="207">
        <v>105</v>
      </c>
      <c r="H31" s="18">
        <f t="shared" si="2"/>
        <v>105000</v>
      </c>
      <c r="I31" s="71"/>
      <c r="J31" s="1"/>
      <c r="K31" s="456">
        <v>56.7</v>
      </c>
      <c r="L31" s="70">
        <f t="shared" si="1"/>
        <v>56700</v>
      </c>
      <c r="M31" s="43"/>
      <c r="N31" s="43"/>
    </row>
    <row r="32" spans="1:14" x14ac:dyDescent="0.25">
      <c r="A32" s="1"/>
      <c r="B32" s="66"/>
      <c r="C32" s="15"/>
      <c r="D32" s="15"/>
      <c r="E32" s="16"/>
      <c r="F32" s="16"/>
      <c r="G32" s="207" t="s">
        <v>1556</v>
      </c>
      <c r="H32" s="18" t="str">
        <f t="shared" si="2"/>
        <v/>
      </c>
      <c r="I32" s="19"/>
      <c r="J32" s="1"/>
      <c r="K32" s="17"/>
      <c r="L32" s="70" t="str">
        <f t="shared" si="1"/>
        <v/>
      </c>
      <c r="M32" s="43"/>
      <c r="N32" s="43"/>
    </row>
    <row r="33" spans="1:14" x14ac:dyDescent="0.25">
      <c r="A33" s="1"/>
      <c r="B33" s="66" t="s">
        <v>460</v>
      </c>
      <c r="C33" s="15" t="s">
        <v>459</v>
      </c>
      <c r="D33" s="15"/>
      <c r="E33" s="16"/>
      <c r="F33" s="16"/>
      <c r="G33" s="72" t="s">
        <v>1556</v>
      </c>
      <c r="H33" s="18" t="str">
        <f t="shared" si="2"/>
        <v/>
      </c>
      <c r="I33" s="19"/>
      <c r="J33" s="1"/>
      <c r="K33" s="17"/>
      <c r="L33" s="70" t="str">
        <f t="shared" si="1"/>
        <v/>
      </c>
      <c r="M33" s="43"/>
      <c r="N33" s="43"/>
    </row>
    <row r="34" spans="1:14" x14ac:dyDescent="0.25">
      <c r="A34" s="1"/>
      <c r="B34" s="66"/>
      <c r="C34" s="73"/>
      <c r="D34" s="73"/>
      <c r="E34" s="16"/>
      <c r="F34" s="16"/>
      <c r="G34" s="72" t="s">
        <v>1556</v>
      </c>
      <c r="H34" s="18" t="str">
        <f t="shared" si="2"/>
        <v/>
      </c>
      <c r="I34" s="19"/>
      <c r="J34" s="1"/>
      <c r="K34" s="17"/>
      <c r="L34" s="70" t="str">
        <f t="shared" si="1"/>
        <v/>
      </c>
      <c r="M34" s="43"/>
      <c r="N34" s="43"/>
    </row>
    <row r="35" spans="1:14" x14ac:dyDescent="0.25">
      <c r="A35" s="1"/>
      <c r="B35" s="66" t="s">
        <v>458</v>
      </c>
      <c r="C35" s="15" t="s">
        <v>1117</v>
      </c>
      <c r="D35" s="15"/>
      <c r="E35" s="16"/>
      <c r="F35" s="16"/>
      <c r="G35" s="72" t="s">
        <v>1556</v>
      </c>
      <c r="H35" s="18" t="str">
        <f t="shared" si="2"/>
        <v/>
      </c>
      <c r="I35" s="19"/>
      <c r="J35" s="1"/>
      <c r="K35" s="17"/>
      <c r="L35" s="70" t="str">
        <f t="shared" si="1"/>
        <v/>
      </c>
      <c r="M35" s="43"/>
      <c r="N35" s="43"/>
    </row>
    <row r="36" spans="1:14" x14ac:dyDescent="0.25">
      <c r="A36" s="1"/>
      <c r="B36" s="66"/>
      <c r="C36" s="15"/>
      <c r="D36" s="15"/>
      <c r="E36" s="16"/>
      <c r="F36" s="16"/>
      <c r="G36" s="72" t="s">
        <v>1556</v>
      </c>
      <c r="H36" s="18" t="str">
        <f t="shared" si="2"/>
        <v/>
      </c>
      <c r="I36" s="19"/>
      <c r="J36" s="1"/>
      <c r="K36" s="17"/>
      <c r="L36" s="70" t="str">
        <f t="shared" si="1"/>
        <v/>
      </c>
      <c r="M36" s="43"/>
      <c r="N36" s="43"/>
    </row>
    <row r="37" spans="1:14" x14ac:dyDescent="0.25">
      <c r="A37" s="1"/>
      <c r="B37" s="66"/>
      <c r="C37" s="208" t="s">
        <v>1114</v>
      </c>
      <c r="D37" s="208"/>
      <c r="E37" s="205"/>
      <c r="F37" s="16"/>
      <c r="G37" s="72" t="s">
        <v>1556</v>
      </c>
      <c r="H37" s="18" t="str">
        <f t="shared" si="2"/>
        <v/>
      </c>
      <c r="I37" s="19"/>
      <c r="J37" s="1"/>
      <c r="K37" s="17"/>
      <c r="L37" s="70" t="str">
        <f t="shared" si="1"/>
        <v/>
      </c>
      <c r="M37" s="43"/>
      <c r="N37" s="43"/>
    </row>
    <row r="38" spans="1:14" x14ac:dyDescent="0.25">
      <c r="A38" s="1"/>
      <c r="B38" s="66"/>
      <c r="C38" s="208"/>
      <c r="D38" s="208"/>
      <c r="E38" s="205"/>
      <c r="F38" s="16"/>
      <c r="G38" s="72" t="s">
        <v>1556</v>
      </c>
      <c r="H38" s="18" t="str">
        <f t="shared" si="2"/>
        <v/>
      </c>
      <c r="I38" s="19"/>
      <c r="J38" s="1"/>
      <c r="K38" s="17"/>
      <c r="L38" s="70" t="str">
        <f t="shared" si="1"/>
        <v/>
      </c>
      <c r="M38" s="43"/>
      <c r="N38" s="43"/>
    </row>
    <row r="39" spans="1:14" ht="23.4" x14ac:dyDescent="0.25">
      <c r="A39" s="1"/>
      <c r="B39" s="66"/>
      <c r="C39" s="209" t="s">
        <v>1115</v>
      </c>
      <c r="D39" s="494" t="s">
        <v>1602</v>
      </c>
      <c r="E39" s="205" t="s">
        <v>674</v>
      </c>
      <c r="F39" s="16">
        <v>2005</v>
      </c>
      <c r="G39" s="72">
        <v>2520</v>
      </c>
      <c r="H39" s="18">
        <f t="shared" si="2"/>
        <v>5052600</v>
      </c>
      <c r="I39" s="19"/>
      <c r="J39" s="1"/>
      <c r="K39" s="457">
        <f>ROUND(4%*G39,0)</f>
        <v>101</v>
      </c>
      <c r="L39" s="70">
        <f t="shared" si="1"/>
        <v>202505</v>
      </c>
      <c r="M39" s="43"/>
      <c r="N39" s="43"/>
    </row>
    <row r="40" spans="1:14" x14ac:dyDescent="0.25">
      <c r="A40" s="1"/>
      <c r="B40" s="66"/>
      <c r="C40" s="208"/>
      <c r="D40" s="208"/>
      <c r="E40" s="205"/>
      <c r="F40" s="16"/>
      <c r="G40" s="72" t="s">
        <v>1556</v>
      </c>
      <c r="H40" s="18" t="str">
        <f t="shared" si="2"/>
        <v/>
      </c>
      <c r="I40" s="19"/>
      <c r="J40" s="1"/>
      <c r="K40" s="17"/>
      <c r="L40" s="70" t="str">
        <f t="shared" si="1"/>
        <v/>
      </c>
      <c r="M40" s="43"/>
      <c r="N40" s="43"/>
    </row>
    <row r="41" spans="1:14" x14ac:dyDescent="0.25">
      <c r="A41" s="1"/>
      <c r="B41" s="66"/>
      <c r="C41" s="209" t="s">
        <v>1116</v>
      </c>
      <c r="D41" s="494" t="s">
        <v>1602</v>
      </c>
      <c r="E41" s="205" t="s">
        <v>676</v>
      </c>
      <c r="F41" s="16">
        <v>70</v>
      </c>
      <c r="G41" s="72">
        <v>2520</v>
      </c>
      <c r="H41" s="18">
        <f t="shared" si="2"/>
        <v>176400</v>
      </c>
      <c r="I41" s="19"/>
      <c r="J41" s="1"/>
      <c r="K41" s="457">
        <f>ROUND(4%*G41,0)</f>
        <v>101</v>
      </c>
      <c r="L41" s="70">
        <f t="shared" si="1"/>
        <v>7070</v>
      </c>
      <c r="M41" s="43"/>
      <c r="N41" s="43"/>
    </row>
    <row r="42" spans="1:14" x14ac:dyDescent="0.25">
      <c r="A42" s="1"/>
      <c r="B42" s="66"/>
      <c r="C42" s="15"/>
      <c r="D42" s="15"/>
      <c r="E42" s="16"/>
      <c r="F42" s="16"/>
      <c r="G42" s="75" t="s">
        <v>1556</v>
      </c>
      <c r="H42" s="18" t="str">
        <f t="shared" si="2"/>
        <v/>
      </c>
      <c r="I42" s="19"/>
      <c r="J42" s="1"/>
      <c r="K42" s="17"/>
      <c r="L42" s="70" t="str">
        <f t="shared" si="1"/>
        <v/>
      </c>
      <c r="M42" s="43"/>
      <c r="N42" s="43"/>
    </row>
    <row r="43" spans="1:14" x14ac:dyDescent="0.25">
      <c r="A43" s="1"/>
      <c r="B43" s="66" t="s">
        <v>457</v>
      </c>
      <c r="C43" s="15" t="s">
        <v>1119</v>
      </c>
      <c r="D43" s="15"/>
      <c r="E43" s="74"/>
      <c r="F43" s="16"/>
      <c r="G43" s="72" t="s">
        <v>1556</v>
      </c>
      <c r="H43" s="18" t="str">
        <f t="shared" si="2"/>
        <v/>
      </c>
      <c r="I43" s="19"/>
      <c r="J43" s="1"/>
      <c r="K43" s="17"/>
      <c r="L43" s="70" t="str">
        <f t="shared" si="1"/>
        <v/>
      </c>
      <c r="M43" s="43"/>
      <c r="N43" s="43"/>
    </row>
    <row r="44" spans="1:14" x14ac:dyDescent="0.25">
      <c r="A44" s="1"/>
      <c r="B44" s="66"/>
      <c r="C44" s="15"/>
      <c r="D44" s="15"/>
      <c r="E44" s="74"/>
      <c r="F44" s="16"/>
      <c r="G44" s="72" t="s">
        <v>1556</v>
      </c>
      <c r="H44" s="18" t="str">
        <f t="shared" si="2"/>
        <v/>
      </c>
      <c r="I44" s="19"/>
      <c r="J44" s="1"/>
      <c r="K44" s="17"/>
      <c r="L44" s="70" t="str">
        <f t="shared" si="1"/>
        <v/>
      </c>
      <c r="M44" s="43"/>
      <c r="N44" s="43"/>
    </row>
    <row r="45" spans="1:14" x14ac:dyDescent="0.25">
      <c r="A45" s="1"/>
      <c r="B45" s="66"/>
      <c r="C45" s="209" t="s">
        <v>1118</v>
      </c>
      <c r="D45" s="494" t="s">
        <v>1602</v>
      </c>
      <c r="E45" s="205" t="s">
        <v>817</v>
      </c>
      <c r="F45" s="16">
        <v>16010</v>
      </c>
      <c r="G45" s="72">
        <v>32</v>
      </c>
      <c r="H45" s="18">
        <f t="shared" si="2"/>
        <v>512320</v>
      </c>
      <c r="I45" s="19"/>
      <c r="J45" s="1"/>
      <c r="K45" s="455">
        <f>G45*5%</f>
        <v>1.6</v>
      </c>
      <c r="L45" s="70">
        <f t="shared" ref="L45:L107" si="3">IF(K45="","",K45*F45)</f>
        <v>25616</v>
      </c>
      <c r="M45" s="43"/>
      <c r="N45" s="43"/>
    </row>
    <row r="46" spans="1:14" x14ac:dyDescent="0.25">
      <c r="A46" s="1"/>
      <c r="B46" s="66"/>
      <c r="C46" s="208"/>
      <c r="D46" s="208"/>
      <c r="E46" s="205"/>
      <c r="F46" s="16"/>
      <c r="G46" s="72" t="s">
        <v>1556</v>
      </c>
      <c r="H46" s="18" t="str">
        <f t="shared" si="2"/>
        <v/>
      </c>
      <c r="I46" s="19"/>
      <c r="J46" s="1"/>
      <c r="K46" s="17"/>
      <c r="L46" s="70" t="str">
        <f t="shared" si="3"/>
        <v/>
      </c>
      <c r="M46" s="43"/>
      <c r="N46" s="43"/>
    </row>
    <row r="47" spans="1:14" x14ac:dyDescent="0.25">
      <c r="B47" s="66"/>
      <c r="C47" s="209" t="s">
        <v>1116</v>
      </c>
      <c r="D47" s="494" t="s">
        <v>1602</v>
      </c>
      <c r="E47" s="205" t="s">
        <v>817</v>
      </c>
      <c r="F47" s="16">
        <v>456</v>
      </c>
      <c r="G47" s="72">
        <v>32</v>
      </c>
      <c r="H47" s="18">
        <f t="shared" si="2"/>
        <v>14592</v>
      </c>
      <c r="J47" s="1"/>
      <c r="K47" s="455">
        <f>G47*5%</f>
        <v>1.6</v>
      </c>
      <c r="L47" s="70">
        <f t="shared" si="3"/>
        <v>729.6</v>
      </c>
      <c r="M47" s="43"/>
      <c r="N47" s="43"/>
    </row>
    <row r="48" spans="1:14" x14ac:dyDescent="0.25">
      <c r="B48" s="66"/>
      <c r="C48" s="15"/>
      <c r="D48" s="15"/>
      <c r="E48" s="16"/>
      <c r="F48" s="16"/>
      <c r="G48" s="72" t="s">
        <v>1556</v>
      </c>
      <c r="H48" s="18" t="str">
        <f t="shared" si="2"/>
        <v/>
      </c>
      <c r="J48" s="1"/>
      <c r="K48" s="17"/>
      <c r="L48" s="70" t="str">
        <f t="shared" si="3"/>
        <v/>
      </c>
      <c r="M48" s="43"/>
      <c r="N48" s="43"/>
    </row>
    <row r="49" spans="2:14" x14ac:dyDescent="0.25">
      <c r="B49" s="66" t="s">
        <v>456</v>
      </c>
      <c r="C49" s="73" t="s">
        <v>455</v>
      </c>
      <c r="D49" s="73"/>
      <c r="E49" s="69"/>
      <c r="F49" s="16"/>
      <c r="G49" s="72" t="s">
        <v>1556</v>
      </c>
      <c r="H49" s="26" t="str">
        <f t="shared" si="2"/>
        <v/>
      </c>
      <c r="J49" s="1"/>
      <c r="K49" s="17"/>
      <c r="L49" s="70" t="str">
        <f t="shared" si="3"/>
        <v/>
      </c>
      <c r="M49" s="43"/>
      <c r="N49" s="43"/>
    </row>
    <row r="50" spans="2:14" x14ac:dyDescent="0.25">
      <c r="B50" s="66"/>
      <c r="C50" s="210"/>
      <c r="D50" s="210"/>
      <c r="E50" s="69"/>
      <c r="F50" s="16"/>
      <c r="G50" s="72" t="s">
        <v>1556</v>
      </c>
      <c r="H50" s="26"/>
      <c r="J50" s="1"/>
      <c r="K50" s="17"/>
      <c r="L50" s="70" t="str">
        <f t="shared" si="3"/>
        <v/>
      </c>
      <c r="M50" s="43"/>
      <c r="N50" s="43"/>
    </row>
    <row r="51" spans="2:14" ht="13.8" x14ac:dyDescent="0.25">
      <c r="B51" s="66" t="s">
        <v>49</v>
      </c>
      <c r="C51" s="28" t="s">
        <v>1120</v>
      </c>
      <c r="D51" s="494" t="s">
        <v>1602</v>
      </c>
      <c r="E51" s="74" t="s">
        <v>600</v>
      </c>
      <c r="F51" s="69">
        <v>165</v>
      </c>
      <c r="G51" s="72">
        <v>257</v>
      </c>
      <c r="H51" s="26">
        <f t="shared" si="2"/>
        <v>42405</v>
      </c>
      <c r="J51" s="1"/>
      <c r="K51" s="455">
        <f>G51*10%</f>
        <v>25.700000000000003</v>
      </c>
      <c r="L51" s="70">
        <f t="shared" si="3"/>
        <v>4240.5000000000009</v>
      </c>
      <c r="M51" s="43"/>
      <c r="N51" s="43"/>
    </row>
    <row r="52" spans="2:14" ht="8.1" customHeight="1" x14ac:dyDescent="0.25">
      <c r="B52" s="66"/>
      <c r="C52" s="15"/>
      <c r="D52" s="15"/>
      <c r="E52" s="16"/>
      <c r="F52" s="16"/>
      <c r="G52" s="72" t="s">
        <v>1556</v>
      </c>
      <c r="H52" s="26" t="str">
        <f t="shared" si="2"/>
        <v/>
      </c>
      <c r="J52" s="1"/>
      <c r="K52" s="17"/>
      <c r="L52" s="70" t="str">
        <f t="shared" si="3"/>
        <v/>
      </c>
      <c r="M52" s="43"/>
      <c r="N52" s="43"/>
    </row>
    <row r="53" spans="2:14" ht="26.4" x14ac:dyDescent="0.25">
      <c r="B53" s="66" t="s">
        <v>51</v>
      </c>
      <c r="C53" s="78" t="s">
        <v>1121</v>
      </c>
      <c r="D53" s="494" t="s">
        <v>1602</v>
      </c>
      <c r="E53" s="23" t="s">
        <v>600</v>
      </c>
      <c r="F53" s="40">
        <v>165</v>
      </c>
      <c r="G53" s="72">
        <v>525</v>
      </c>
      <c r="H53" s="26">
        <f t="shared" si="2"/>
        <v>86625</v>
      </c>
      <c r="J53" s="1"/>
      <c r="K53" s="455">
        <f>G53*10%</f>
        <v>52.5</v>
      </c>
      <c r="L53" s="70">
        <f t="shared" si="3"/>
        <v>8662.5</v>
      </c>
      <c r="M53" s="43"/>
      <c r="N53" s="43"/>
    </row>
    <row r="54" spans="2:14" ht="8.1" customHeight="1" x14ac:dyDescent="0.25">
      <c r="B54" s="66"/>
      <c r="C54" s="15"/>
      <c r="D54" s="15"/>
      <c r="E54" s="16"/>
      <c r="F54" s="16"/>
      <c r="G54" s="72" t="s">
        <v>1556</v>
      </c>
      <c r="H54" s="26"/>
      <c r="J54" s="1"/>
      <c r="K54" s="17"/>
      <c r="L54" s="70" t="str">
        <f t="shared" si="3"/>
        <v/>
      </c>
      <c r="M54" s="43"/>
      <c r="N54" s="43"/>
    </row>
    <row r="55" spans="2:14" ht="26.4" x14ac:dyDescent="0.25">
      <c r="B55" s="66" t="s">
        <v>454</v>
      </c>
      <c r="C55" s="15" t="s">
        <v>453</v>
      </c>
      <c r="D55" s="15"/>
      <c r="E55" s="16"/>
      <c r="F55" s="16"/>
      <c r="G55" s="72" t="s">
        <v>1556</v>
      </c>
      <c r="H55" s="26" t="str">
        <f>IF(E55="","",F55*G55)</f>
        <v/>
      </c>
      <c r="J55" s="1"/>
      <c r="K55" s="17"/>
      <c r="L55" s="70" t="str">
        <f t="shared" si="3"/>
        <v/>
      </c>
      <c r="M55" s="43"/>
      <c r="N55" s="43"/>
    </row>
    <row r="56" spans="2:14" x14ac:dyDescent="0.25">
      <c r="B56" s="66"/>
      <c r="C56" s="15"/>
      <c r="D56" s="15"/>
      <c r="E56" s="16"/>
      <c r="F56" s="16"/>
      <c r="G56" s="72" t="s">
        <v>1556</v>
      </c>
      <c r="H56" s="26" t="str">
        <f>IF(E56="","",F56*G56)</f>
        <v/>
      </c>
      <c r="J56" s="1"/>
      <c r="K56" s="17"/>
      <c r="L56" s="70" t="str">
        <f t="shared" si="3"/>
        <v/>
      </c>
      <c r="M56" s="43"/>
      <c r="N56" s="43"/>
    </row>
    <row r="57" spans="2:14" ht="26.4" x14ac:dyDescent="0.25">
      <c r="B57" s="66" t="s">
        <v>452</v>
      </c>
      <c r="C57" s="73" t="s">
        <v>451</v>
      </c>
      <c r="D57" s="494" t="s">
        <v>1602</v>
      </c>
      <c r="E57" s="74" t="s">
        <v>600</v>
      </c>
      <c r="F57" s="16">
        <v>1250</v>
      </c>
      <c r="G57" s="17">
        <v>158</v>
      </c>
      <c r="H57" s="26">
        <f>IF(E57="","",F57*G57)</f>
        <v>197500</v>
      </c>
      <c r="J57" s="1"/>
      <c r="K57" s="17">
        <v>111</v>
      </c>
      <c r="L57" s="70">
        <f t="shared" si="3"/>
        <v>138750</v>
      </c>
      <c r="M57" s="43"/>
      <c r="N57" s="43"/>
    </row>
    <row r="58" spans="2:14" x14ac:dyDescent="0.25">
      <c r="B58" s="66"/>
      <c r="C58" s="15"/>
      <c r="D58" s="15"/>
      <c r="E58" s="16"/>
      <c r="F58" s="16"/>
      <c r="G58" s="17" t="s">
        <v>1556</v>
      </c>
      <c r="H58" s="26" t="str">
        <f>IF(E58="","",F58*G58)</f>
        <v/>
      </c>
      <c r="J58" s="1"/>
      <c r="K58" s="17"/>
      <c r="L58" s="70" t="str">
        <f t="shared" si="3"/>
        <v/>
      </c>
      <c r="M58" s="43"/>
      <c r="N58" s="43"/>
    </row>
    <row r="59" spans="2:14" ht="13.8" x14ac:dyDescent="0.25">
      <c r="B59" s="53" t="s">
        <v>450</v>
      </c>
      <c r="C59" s="15" t="s">
        <v>449</v>
      </c>
      <c r="D59" s="494" t="s">
        <v>1602</v>
      </c>
      <c r="E59" s="74" t="s">
        <v>600</v>
      </c>
      <c r="F59" s="24">
        <v>490</v>
      </c>
      <c r="G59" s="25">
        <v>410</v>
      </c>
      <c r="H59" s="26">
        <f>IF(E59="","",F59*G59)</f>
        <v>200900</v>
      </c>
      <c r="J59" s="1"/>
      <c r="K59" s="17">
        <v>111</v>
      </c>
      <c r="L59" s="70">
        <f t="shared" si="3"/>
        <v>54390</v>
      </c>
      <c r="M59" s="43"/>
      <c r="N59" s="43"/>
    </row>
    <row r="60" spans="2:14" x14ac:dyDescent="0.25">
      <c r="B60" s="66"/>
      <c r="C60" s="15"/>
      <c r="D60" s="15"/>
      <c r="E60" s="16"/>
      <c r="F60" s="27"/>
      <c r="G60" s="207"/>
      <c r="H60" s="26" t="str">
        <f t="shared" si="2"/>
        <v/>
      </c>
      <c r="J60" s="1"/>
      <c r="K60" s="17"/>
      <c r="L60" s="70" t="str">
        <f t="shared" si="3"/>
        <v/>
      </c>
      <c r="M60" s="43"/>
      <c r="N60" s="43"/>
    </row>
    <row r="61" spans="2:14" s="31" customFormat="1" ht="19.5" customHeight="1" x14ac:dyDescent="0.25">
      <c r="B61" s="151" t="str">
        <f>$B$11</f>
        <v>C3.3</v>
      </c>
      <c r="C61" s="33" t="s">
        <v>12</v>
      </c>
      <c r="D61" s="33"/>
      <c r="E61" s="34"/>
      <c r="F61" s="35"/>
      <c r="G61" s="34"/>
      <c r="H61" s="36">
        <f>SUM(H10:H60)</f>
        <v>6565052</v>
      </c>
      <c r="I61" s="37"/>
      <c r="J61" s="1"/>
      <c r="K61" s="17"/>
      <c r="L61" s="70" t="str">
        <f t="shared" si="3"/>
        <v/>
      </c>
      <c r="M61" s="43"/>
      <c r="N61" s="43"/>
    </row>
    <row r="62" spans="2:14" s="1" customFormat="1" x14ac:dyDescent="0.25">
      <c r="B62" s="498" t="str">
        <f>Client1</f>
        <v>Province of KwaZulu-Natal</v>
      </c>
      <c r="C62" s="498"/>
      <c r="D62" s="498"/>
      <c r="E62" s="498"/>
      <c r="F62" s="496" t="str">
        <f>"Contract No. "&amp;ContractNo</f>
        <v>Contract No. ZNB02215/00000/00/HOD/INF/23/T</v>
      </c>
      <c r="G62" s="496"/>
      <c r="H62" s="496"/>
      <c r="I62" s="5"/>
      <c r="K62" s="17"/>
      <c r="L62" s="70" t="str">
        <f t="shared" si="3"/>
        <v/>
      </c>
      <c r="M62" s="43"/>
      <c r="N62" s="43"/>
    </row>
    <row r="63" spans="2:14" s="1" customFormat="1" x14ac:dyDescent="0.25">
      <c r="B63" s="498" t="str">
        <f>Client2</f>
        <v>Department of Transport</v>
      </c>
      <c r="C63" s="498"/>
      <c r="D63" s="498"/>
      <c r="E63" s="498"/>
      <c r="F63" s="496"/>
      <c r="G63" s="496"/>
      <c r="H63" s="496"/>
      <c r="I63" s="5"/>
      <c r="K63" s="17"/>
      <c r="L63" s="70" t="str">
        <f t="shared" si="3"/>
        <v/>
      </c>
      <c r="M63" s="43"/>
      <c r="N63" s="43"/>
    </row>
    <row r="64" spans="2:14" s="1" customFormat="1" x14ac:dyDescent="0.25">
      <c r="B64" s="499"/>
      <c r="C64" s="499"/>
      <c r="D64" s="499"/>
      <c r="E64" s="499"/>
      <c r="F64" s="497"/>
      <c r="G64" s="497"/>
      <c r="H64" s="497"/>
      <c r="I64" s="5"/>
      <c r="K64" s="17"/>
      <c r="L64" s="70" t="str">
        <f t="shared" si="3"/>
        <v/>
      </c>
      <c r="M64" s="43"/>
      <c r="N64" s="43"/>
    </row>
    <row r="65" spans="2:14" s="1" customFormat="1" x14ac:dyDescent="0.25">
      <c r="B65" s="507" t="s">
        <v>8</v>
      </c>
      <c r="C65" s="508"/>
      <c r="D65" s="508"/>
      <c r="E65" s="508"/>
      <c r="F65" s="508"/>
      <c r="G65" s="508"/>
      <c r="H65" s="509" t="str">
        <f>$H$5</f>
        <v>CHAPTER C3.3</v>
      </c>
      <c r="I65" s="6"/>
      <c r="K65" s="17"/>
      <c r="L65" s="70" t="str">
        <f t="shared" si="3"/>
        <v/>
      </c>
      <c r="M65" s="43"/>
      <c r="N65" s="43"/>
    </row>
    <row r="66" spans="2:14" s="1" customFormat="1" x14ac:dyDescent="0.25">
      <c r="B66" s="500" t="str">
        <f>ContractDescription</f>
        <v>UPGRADING OF MAIN ROAD P8/3 FROM GRAVEL TO BLACKTOP BETWEEN KM 17.560 AND KM 24.221 IN THE PIETERMARITZBURG REGION</v>
      </c>
      <c r="C66" s="501"/>
      <c r="D66" s="501"/>
      <c r="E66" s="501"/>
      <c r="F66" s="501"/>
      <c r="G66" s="501"/>
      <c r="H66" s="496"/>
      <c r="I66" s="9"/>
      <c r="J66" s="39"/>
      <c r="K66" s="17"/>
      <c r="L66" s="70" t="str">
        <f t="shared" si="3"/>
        <v/>
      </c>
      <c r="M66" s="43"/>
      <c r="N66" s="43"/>
    </row>
    <row r="67" spans="2:14" s="1" customFormat="1" x14ac:dyDescent="0.25">
      <c r="B67" s="500"/>
      <c r="C67" s="501"/>
      <c r="D67" s="501"/>
      <c r="E67" s="501"/>
      <c r="F67" s="501"/>
      <c r="G67" s="501"/>
      <c r="H67" s="496"/>
      <c r="I67" s="9"/>
      <c r="J67" s="39"/>
      <c r="K67" s="17"/>
      <c r="L67" s="70" t="str">
        <f t="shared" si="3"/>
        <v/>
      </c>
      <c r="M67" s="43"/>
      <c r="N67" s="43"/>
    </row>
    <row r="68" spans="2:14" s="1" customFormat="1" x14ac:dyDescent="0.25">
      <c r="B68" s="502"/>
      <c r="C68" s="503"/>
      <c r="D68" s="503"/>
      <c r="E68" s="503"/>
      <c r="F68" s="503"/>
      <c r="G68" s="503"/>
      <c r="H68" s="497"/>
      <c r="I68" s="9"/>
      <c r="K68" s="17"/>
      <c r="L68" s="70" t="str">
        <f t="shared" si="3"/>
        <v/>
      </c>
      <c r="M68" s="43"/>
      <c r="N68" s="43"/>
    </row>
    <row r="69" spans="2:14" s="10" customFormat="1" ht="25.2" customHeight="1" x14ac:dyDescent="0.25">
      <c r="B69" s="81" t="s">
        <v>0</v>
      </c>
      <c r="C69" s="12" t="s">
        <v>1</v>
      </c>
      <c r="D69" s="12" t="s">
        <v>1602</v>
      </c>
      <c r="E69" s="12" t="s">
        <v>2</v>
      </c>
      <c r="F69" s="12" t="s">
        <v>3</v>
      </c>
      <c r="G69" s="12" t="s">
        <v>4</v>
      </c>
      <c r="H69" s="12" t="s">
        <v>5</v>
      </c>
      <c r="I69" s="13"/>
      <c r="K69" s="17"/>
      <c r="L69" s="70" t="str">
        <f t="shared" si="3"/>
        <v/>
      </c>
      <c r="M69" s="43"/>
      <c r="N69" s="43"/>
    </row>
    <row r="70" spans="2:14" s="31" customFormat="1" ht="20.100000000000001" customHeight="1" x14ac:dyDescent="0.25">
      <c r="B70" s="87"/>
      <c r="C70" s="33" t="s">
        <v>37</v>
      </c>
      <c r="D70" s="33"/>
      <c r="E70" s="34"/>
      <c r="F70" s="35"/>
      <c r="G70" s="34"/>
      <c r="H70" s="36">
        <f>H61</f>
        <v>6565052</v>
      </c>
      <c r="I70" s="37"/>
      <c r="K70" s="17"/>
      <c r="L70" s="70" t="str">
        <f t="shared" si="3"/>
        <v/>
      </c>
      <c r="M70" s="43"/>
      <c r="N70" s="43"/>
    </row>
    <row r="71" spans="2:14" x14ac:dyDescent="0.25">
      <c r="B71" s="66"/>
      <c r="C71" s="147"/>
      <c r="D71" s="147"/>
      <c r="E71" s="16"/>
      <c r="F71" s="27"/>
      <c r="G71" s="17"/>
      <c r="H71" s="26" t="str">
        <f>IF(E71="","",F71*G71)</f>
        <v/>
      </c>
      <c r="K71" s="17"/>
      <c r="L71" s="70" t="str">
        <f t="shared" si="3"/>
        <v/>
      </c>
      <c r="M71" s="43"/>
      <c r="N71" s="43"/>
    </row>
    <row r="72" spans="2:14" ht="52.8" x14ac:dyDescent="0.25">
      <c r="B72" s="66" t="s">
        <v>448</v>
      </c>
      <c r="C72" s="15" t="s">
        <v>1125</v>
      </c>
      <c r="D72" s="15"/>
      <c r="E72" s="23"/>
      <c r="F72" s="27"/>
      <c r="G72" s="67"/>
      <c r="H72" s="26" t="str">
        <f t="shared" ref="H72:H80" si="4">IF(E72="","",F72*G72)</f>
        <v/>
      </c>
      <c r="K72" s="17"/>
      <c r="L72" s="70" t="str">
        <f t="shared" si="3"/>
        <v/>
      </c>
      <c r="M72" s="43"/>
      <c r="N72" s="43"/>
    </row>
    <row r="73" spans="2:14" x14ac:dyDescent="0.25">
      <c r="B73" s="66"/>
      <c r="C73" s="15"/>
      <c r="D73" s="15"/>
      <c r="E73" s="23"/>
      <c r="F73" s="27"/>
      <c r="G73" s="25"/>
      <c r="H73" s="26" t="str">
        <f t="shared" si="4"/>
        <v/>
      </c>
      <c r="K73" s="17"/>
      <c r="L73" s="70" t="str">
        <f t="shared" si="3"/>
        <v/>
      </c>
      <c r="M73" s="43"/>
      <c r="N73" s="43"/>
    </row>
    <row r="74" spans="2:14" x14ac:dyDescent="0.25">
      <c r="B74" s="66"/>
      <c r="C74" s="208" t="s">
        <v>1123</v>
      </c>
      <c r="D74" s="494" t="s">
        <v>1602</v>
      </c>
      <c r="E74" s="205" t="s">
        <v>6</v>
      </c>
      <c r="F74" s="27">
        <v>2496</v>
      </c>
      <c r="G74" s="25">
        <v>37</v>
      </c>
      <c r="H74" s="26">
        <f t="shared" si="4"/>
        <v>92352</v>
      </c>
      <c r="J74" s="1"/>
      <c r="K74" s="456">
        <v>9.3000000000000007</v>
      </c>
      <c r="L74" s="70">
        <f t="shared" si="3"/>
        <v>23212.800000000003</v>
      </c>
      <c r="M74" s="43"/>
      <c r="N74" s="43"/>
    </row>
    <row r="75" spans="2:14" x14ac:dyDescent="0.25">
      <c r="B75" s="66"/>
      <c r="C75" s="208"/>
      <c r="D75" s="208"/>
      <c r="E75" s="205"/>
      <c r="F75" s="27"/>
      <c r="G75" s="25" t="s">
        <v>1556</v>
      </c>
      <c r="H75" s="26" t="str">
        <f t="shared" si="4"/>
        <v/>
      </c>
      <c r="J75" s="1"/>
      <c r="K75" s="17"/>
      <c r="L75" s="70" t="str">
        <f t="shared" si="3"/>
        <v/>
      </c>
      <c r="M75" s="43"/>
      <c r="N75" s="43"/>
    </row>
    <row r="76" spans="2:14" x14ac:dyDescent="0.25">
      <c r="B76" s="66"/>
      <c r="C76" s="208" t="s">
        <v>1124</v>
      </c>
      <c r="D76" s="494" t="s">
        <v>1602</v>
      </c>
      <c r="E76" s="205" t="s">
        <v>6</v>
      </c>
      <c r="F76" s="27">
        <v>1248</v>
      </c>
      <c r="G76" s="25">
        <v>63</v>
      </c>
      <c r="H76" s="26">
        <f t="shared" si="4"/>
        <v>78624</v>
      </c>
      <c r="J76" s="1"/>
      <c r="K76" s="456">
        <v>9.3000000000000007</v>
      </c>
      <c r="L76" s="70">
        <f t="shared" si="3"/>
        <v>11606.400000000001</v>
      </c>
      <c r="M76" s="43"/>
      <c r="N76" s="43"/>
    </row>
    <row r="77" spans="2:14" x14ac:dyDescent="0.25">
      <c r="B77" s="66"/>
      <c r="C77" s="15"/>
      <c r="D77" s="15"/>
      <c r="E77" s="16"/>
      <c r="F77" s="27"/>
      <c r="G77" s="25" t="s">
        <v>1556</v>
      </c>
      <c r="H77" s="26" t="str">
        <f t="shared" si="4"/>
        <v/>
      </c>
      <c r="J77" s="1"/>
      <c r="K77" s="17"/>
      <c r="L77" s="70" t="str">
        <f t="shared" si="3"/>
        <v/>
      </c>
      <c r="M77" s="43"/>
      <c r="N77" s="43"/>
    </row>
    <row r="78" spans="2:14" ht="26.4" x14ac:dyDescent="0.3">
      <c r="B78" s="66" t="s">
        <v>447</v>
      </c>
      <c r="C78" s="29" t="s">
        <v>1122</v>
      </c>
      <c r="D78" s="494" t="s">
        <v>1602</v>
      </c>
      <c r="E78" s="69" t="s">
        <v>601</v>
      </c>
      <c r="F78" s="27">
        <v>150</v>
      </c>
      <c r="G78" s="25">
        <v>1890</v>
      </c>
      <c r="H78" s="26">
        <f t="shared" si="4"/>
        <v>283500</v>
      </c>
      <c r="J78" s="1"/>
      <c r="K78" s="17">
        <f>_Place</f>
        <v>348</v>
      </c>
      <c r="L78" s="70">
        <f t="shared" si="3"/>
        <v>52200</v>
      </c>
      <c r="M78" s="43"/>
      <c r="N78" s="43"/>
    </row>
    <row r="79" spans="2:14" x14ac:dyDescent="0.25">
      <c r="B79" s="66"/>
      <c r="C79" s="28"/>
      <c r="D79" s="146"/>
      <c r="E79" s="69"/>
      <c r="F79" s="27"/>
      <c r="G79" s="25" t="s">
        <v>1556</v>
      </c>
      <c r="H79" s="26" t="str">
        <f t="shared" si="4"/>
        <v/>
      </c>
      <c r="J79" s="1"/>
      <c r="K79" s="17"/>
      <c r="L79" s="70" t="str">
        <f t="shared" si="3"/>
        <v/>
      </c>
      <c r="M79" s="43"/>
      <c r="N79" s="43"/>
    </row>
    <row r="80" spans="2:14" x14ac:dyDescent="0.25">
      <c r="B80" s="66" t="s">
        <v>446</v>
      </c>
      <c r="C80" s="29" t="s">
        <v>445</v>
      </c>
      <c r="D80" s="147"/>
      <c r="E80" s="69"/>
      <c r="F80" s="27"/>
      <c r="G80" s="72" t="s">
        <v>1556</v>
      </c>
      <c r="H80" s="26" t="str">
        <f t="shared" si="4"/>
        <v/>
      </c>
      <c r="J80" s="1"/>
      <c r="K80" s="17"/>
      <c r="L80" s="70" t="str">
        <f t="shared" si="3"/>
        <v/>
      </c>
      <c r="M80" s="43"/>
      <c r="N80" s="43"/>
    </row>
    <row r="81" spans="2:14" x14ac:dyDescent="0.25">
      <c r="B81" s="66"/>
      <c r="C81" s="146"/>
      <c r="D81" s="146"/>
      <c r="E81" s="69"/>
      <c r="F81" s="27"/>
      <c r="G81" s="70" t="s">
        <v>1556</v>
      </c>
      <c r="H81" s="26"/>
      <c r="J81" s="1"/>
      <c r="K81" s="17"/>
      <c r="L81" s="70" t="str">
        <f t="shared" si="3"/>
        <v/>
      </c>
      <c r="M81" s="43"/>
      <c r="N81" s="43"/>
    </row>
    <row r="82" spans="2:14" x14ac:dyDescent="0.25">
      <c r="B82" s="66" t="s">
        <v>442</v>
      </c>
      <c r="C82" s="73" t="s">
        <v>441</v>
      </c>
      <c r="D82" s="494" t="s">
        <v>1602</v>
      </c>
      <c r="E82" s="74" t="s">
        <v>35</v>
      </c>
      <c r="F82" s="27">
        <v>63240</v>
      </c>
      <c r="G82" s="72">
        <v>21</v>
      </c>
      <c r="H82" s="26">
        <f t="shared" ref="H82:H90" si="5">IF(E82="","",F82*G82)</f>
        <v>1328040</v>
      </c>
      <c r="J82" s="1"/>
      <c r="K82" s="457">
        <v>3.7</v>
      </c>
      <c r="L82" s="70">
        <f t="shared" si="3"/>
        <v>233988</v>
      </c>
      <c r="M82" s="43"/>
      <c r="N82" s="43"/>
    </row>
    <row r="83" spans="2:14" x14ac:dyDescent="0.25">
      <c r="B83" s="66"/>
      <c r="C83" s="146"/>
      <c r="D83" s="146"/>
      <c r="E83" s="69"/>
      <c r="F83" s="27"/>
      <c r="G83" s="70" t="s">
        <v>1556</v>
      </c>
      <c r="H83" s="26" t="str">
        <f t="shared" si="5"/>
        <v/>
      </c>
      <c r="J83" s="1"/>
      <c r="K83" s="17"/>
      <c r="L83" s="70" t="str">
        <f t="shared" si="3"/>
        <v/>
      </c>
      <c r="M83" s="43"/>
      <c r="N83" s="43"/>
    </row>
    <row r="84" spans="2:14" ht="26.4" x14ac:dyDescent="0.3">
      <c r="B84" s="66" t="s">
        <v>440</v>
      </c>
      <c r="C84" s="73" t="s">
        <v>1126</v>
      </c>
      <c r="D84" s="494" t="s">
        <v>1602</v>
      </c>
      <c r="E84" s="16" t="s">
        <v>600</v>
      </c>
      <c r="F84" s="27">
        <v>130</v>
      </c>
      <c r="G84" s="70">
        <v>6</v>
      </c>
      <c r="H84" s="26">
        <f t="shared" si="5"/>
        <v>780</v>
      </c>
      <c r="J84" s="1"/>
      <c r="K84" s="17">
        <f>_Geofabric</f>
        <v>5.3</v>
      </c>
      <c r="L84" s="70">
        <f t="shared" si="3"/>
        <v>689</v>
      </c>
      <c r="M84" s="43"/>
      <c r="N84" s="43"/>
    </row>
    <row r="85" spans="2:14" x14ac:dyDescent="0.25">
      <c r="B85" s="66"/>
      <c r="C85" s="146"/>
      <c r="D85" s="146"/>
      <c r="E85" s="69"/>
      <c r="F85" s="27"/>
      <c r="G85" s="70" t="s">
        <v>1556</v>
      </c>
      <c r="H85" s="26" t="str">
        <f t="shared" si="5"/>
        <v/>
      </c>
      <c r="J85" s="1"/>
      <c r="K85" s="17"/>
      <c r="L85" s="70" t="str">
        <f t="shared" si="3"/>
        <v/>
      </c>
      <c r="M85" s="43"/>
      <c r="N85" s="43"/>
    </row>
    <row r="86" spans="2:14" x14ac:dyDescent="0.25">
      <c r="B86" s="66" t="s">
        <v>439</v>
      </c>
      <c r="C86" s="73" t="s">
        <v>438</v>
      </c>
      <c r="D86" s="73"/>
      <c r="E86" s="74"/>
      <c r="F86" s="27"/>
      <c r="G86" s="70" t="s">
        <v>1556</v>
      </c>
      <c r="H86" s="26" t="str">
        <f t="shared" si="5"/>
        <v/>
      </c>
      <c r="J86" s="1"/>
      <c r="K86" s="17"/>
      <c r="L86" s="70" t="str">
        <f t="shared" si="3"/>
        <v/>
      </c>
      <c r="M86" s="43"/>
      <c r="N86" s="43"/>
    </row>
    <row r="87" spans="2:14" x14ac:dyDescent="0.25">
      <c r="B87" s="66"/>
      <c r="C87" s="15"/>
      <c r="D87" s="15"/>
      <c r="E87" s="16"/>
      <c r="F87" s="27"/>
      <c r="G87" s="70" t="s">
        <v>1556</v>
      </c>
      <c r="H87" s="26" t="str">
        <f t="shared" si="5"/>
        <v/>
      </c>
      <c r="J87" s="1"/>
      <c r="K87" s="17"/>
      <c r="L87" s="70" t="str">
        <f t="shared" si="3"/>
        <v/>
      </c>
      <c r="M87" s="43"/>
      <c r="N87" s="43"/>
    </row>
    <row r="88" spans="2:14" x14ac:dyDescent="0.25">
      <c r="B88" s="66" t="s">
        <v>437</v>
      </c>
      <c r="C88" s="73" t="s">
        <v>436</v>
      </c>
      <c r="D88" s="494"/>
      <c r="E88" s="74" t="s">
        <v>44</v>
      </c>
      <c r="F88" s="27">
        <v>20</v>
      </c>
      <c r="G88" s="70">
        <v>263</v>
      </c>
      <c r="H88" s="26">
        <f t="shared" si="5"/>
        <v>5260</v>
      </c>
      <c r="J88" s="1"/>
      <c r="K88" s="17">
        <f>5%*G88</f>
        <v>13.15</v>
      </c>
      <c r="L88" s="70">
        <f t="shared" si="3"/>
        <v>263</v>
      </c>
      <c r="M88" s="43"/>
      <c r="N88" s="43"/>
    </row>
    <row r="89" spans="2:14" x14ac:dyDescent="0.25">
      <c r="B89" s="66"/>
      <c r="C89" s="15"/>
      <c r="D89" s="15"/>
      <c r="E89" s="16"/>
      <c r="F89" s="27"/>
      <c r="G89" s="70" t="s">
        <v>1556</v>
      </c>
      <c r="H89" s="26" t="str">
        <f t="shared" si="5"/>
        <v/>
      </c>
      <c r="J89" s="1"/>
      <c r="K89" s="17"/>
      <c r="L89" s="70" t="str">
        <f t="shared" si="3"/>
        <v/>
      </c>
      <c r="M89" s="43"/>
      <c r="N89" s="43"/>
    </row>
    <row r="90" spans="2:14" ht="13.8" x14ac:dyDescent="0.25">
      <c r="B90" s="66" t="s">
        <v>435</v>
      </c>
      <c r="C90" s="73" t="s">
        <v>434</v>
      </c>
      <c r="D90" s="494" t="s">
        <v>1602</v>
      </c>
      <c r="E90" s="74" t="s">
        <v>600</v>
      </c>
      <c r="F90" s="27">
        <f>4*20</f>
        <v>80</v>
      </c>
      <c r="G90" s="70">
        <v>210</v>
      </c>
      <c r="H90" s="26">
        <f t="shared" si="5"/>
        <v>16800</v>
      </c>
      <c r="J90" s="1"/>
      <c r="K90" s="17">
        <f>5%*G90</f>
        <v>10.5</v>
      </c>
      <c r="L90" s="70">
        <f t="shared" si="3"/>
        <v>840</v>
      </c>
      <c r="M90" s="43"/>
      <c r="N90" s="43"/>
    </row>
    <row r="91" spans="2:14" x14ac:dyDescent="0.25">
      <c r="B91" s="66"/>
      <c r="C91" s="28"/>
      <c r="D91" s="146"/>
      <c r="E91" s="74"/>
      <c r="F91" s="69"/>
      <c r="G91" s="72" t="s">
        <v>1556</v>
      </c>
      <c r="H91" s="26"/>
      <c r="J91" s="1"/>
      <c r="K91" s="17"/>
      <c r="L91" s="70" t="str">
        <f t="shared" si="3"/>
        <v/>
      </c>
      <c r="M91" s="43"/>
      <c r="N91" s="43"/>
    </row>
    <row r="92" spans="2:14" x14ac:dyDescent="0.25">
      <c r="B92" s="66"/>
      <c r="C92" s="15"/>
      <c r="D92" s="15"/>
      <c r="E92" s="16"/>
      <c r="F92" s="16"/>
      <c r="G92" s="72" t="s">
        <v>1556</v>
      </c>
      <c r="H92" s="26"/>
      <c r="J92" s="1"/>
      <c r="K92" s="17"/>
      <c r="L92" s="70" t="str">
        <f t="shared" si="3"/>
        <v/>
      </c>
      <c r="M92" s="43"/>
      <c r="N92" s="43"/>
    </row>
    <row r="93" spans="2:14" x14ac:dyDescent="0.25">
      <c r="B93" s="66"/>
      <c r="C93" s="78"/>
      <c r="D93" s="210"/>
      <c r="E93" s="74"/>
      <c r="F93" s="69"/>
      <c r="G93" s="72" t="s">
        <v>1556</v>
      </c>
      <c r="H93" s="26"/>
      <c r="J93" s="1"/>
      <c r="K93" s="17"/>
      <c r="L93" s="70" t="str">
        <f t="shared" si="3"/>
        <v/>
      </c>
      <c r="M93" s="43"/>
      <c r="N93" s="43"/>
    </row>
    <row r="94" spans="2:14" x14ac:dyDescent="0.25">
      <c r="B94" s="66"/>
      <c r="C94" s="29"/>
      <c r="D94" s="147"/>
      <c r="E94" s="69"/>
      <c r="F94" s="69"/>
      <c r="G94" s="72" t="s">
        <v>1556</v>
      </c>
      <c r="H94" s="26" t="str">
        <f>IF(E94="","",F94*G94)</f>
        <v/>
      </c>
      <c r="J94" s="1"/>
      <c r="K94" s="17"/>
      <c r="L94" s="70" t="str">
        <f t="shared" si="3"/>
        <v/>
      </c>
      <c r="M94" s="43"/>
      <c r="N94" s="43"/>
    </row>
    <row r="95" spans="2:14" x14ac:dyDescent="0.25">
      <c r="B95" s="66"/>
      <c r="C95" s="15"/>
      <c r="D95" s="15"/>
      <c r="E95" s="16"/>
      <c r="F95" s="16"/>
      <c r="G95" s="72" t="s">
        <v>1556</v>
      </c>
      <c r="H95" s="26"/>
      <c r="J95" s="1"/>
      <c r="K95" s="17"/>
      <c r="L95" s="70" t="str">
        <f t="shared" si="3"/>
        <v/>
      </c>
      <c r="M95" s="43"/>
      <c r="N95" s="43"/>
    </row>
    <row r="96" spans="2:14" x14ac:dyDescent="0.25">
      <c r="B96" s="66"/>
      <c r="C96" s="15"/>
      <c r="D96" s="15"/>
      <c r="E96" s="16"/>
      <c r="F96" s="16"/>
      <c r="G96" s="72" t="s">
        <v>1556</v>
      </c>
      <c r="H96" s="26"/>
      <c r="J96" s="1"/>
      <c r="K96" s="17"/>
      <c r="L96" s="70" t="str">
        <f t="shared" si="3"/>
        <v/>
      </c>
      <c r="M96" s="43"/>
      <c r="N96" s="43"/>
    </row>
    <row r="97" spans="2:14" x14ac:dyDescent="0.25">
      <c r="B97" s="66"/>
      <c r="C97" s="73"/>
      <c r="D97" s="73"/>
      <c r="E97" s="74"/>
      <c r="F97" s="16"/>
      <c r="G97" s="17" t="s">
        <v>1556</v>
      </c>
      <c r="H97" s="26"/>
      <c r="J97" s="1"/>
      <c r="K97" s="17"/>
      <c r="L97" s="70" t="str">
        <f t="shared" si="3"/>
        <v/>
      </c>
      <c r="M97" s="43"/>
      <c r="N97" s="43"/>
    </row>
    <row r="98" spans="2:14" x14ac:dyDescent="0.25">
      <c r="B98" s="66"/>
      <c r="C98" s="15"/>
      <c r="D98" s="15"/>
      <c r="E98" s="16"/>
      <c r="F98" s="16"/>
      <c r="G98" s="17" t="s">
        <v>1556</v>
      </c>
      <c r="H98" s="26"/>
      <c r="J98" s="1"/>
      <c r="K98" s="17"/>
      <c r="L98" s="70" t="str">
        <f t="shared" si="3"/>
        <v/>
      </c>
      <c r="M98" s="43"/>
      <c r="N98" s="43"/>
    </row>
    <row r="99" spans="2:14" ht="12.75" customHeight="1" x14ac:dyDescent="0.25">
      <c r="B99" s="53"/>
      <c r="C99" s="15"/>
      <c r="D99" s="15"/>
      <c r="E99" s="74"/>
      <c r="F99" s="24"/>
      <c r="G99" s="25"/>
      <c r="H99" s="26"/>
      <c r="K99" s="17"/>
      <c r="L99" s="70" t="str">
        <f t="shared" si="3"/>
        <v/>
      </c>
      <c r="M99" s="43"/>
      <c r="N99" s="43"/>
    </row>
    <row r="100" spans="2:14" x14ac:dyDescent="0.25">
      <c r="B100" s="66"/>
      <c r="C100" s="15"/>
      <c r="D100" s="15"/>
      <c r="E100" s="16"/>
      <c r="F100" s="27"/>
      <c r="G100" s="17"/>
      <c r="H100" s="26" t="str">
        <f>IF(E100="","",F100*G100)</f>
        <v/>
      </c>
      <c r="K100" s="17"/>
      <c r="L100" s="70" t="str">
        <f t="shared" si="3"/>
        <v/>
      </c>
      <c r="M100" s="43"/>
      <c r="N100" s="43"/>
    </row>
    <row r="101" spans="2:14" x14ac:dyDescent="0.25">
      <c r="B101" s="66"/>
      <c r="C101" s="15"/>
      <c r="D101" s="15"/>
      <c r="E101" s="23"/>
      <c r="F101" s="27"/>
      <c r="G101" s="67"/>
      <c r="H101" s="26"/>
      <c r="K101" s="17"/>
      <c r="L101" s="70" t="str">
        <f t="shared" si="3"/>
        <v/>
      </c>
      <c r="M101" s="43"/>
      <c r="N101" s="43"/>
    </row>
    <row r="102" spans="2:14" x14ac:dyDescent="0.25">
      <c r="B102" s="66"/>
      <c r="C102" s="15"/>
      <c r="D102" s="15"/>
      <c r="E102" s="23"/>
      <c r="F102" s="27"/>
      <c r="G102" s="25"/>
      <c r="H102" s="26"/>
      <c r="K102" s="17"/>
      <c r="L102" s="70" t="str">
        <f t="shared" si="3"/>
        <v/>
      </c>
      <c r="M102" s="43"/>
      <c r="N102" s="43"/>
    </row>
    <row r="103" spans="2:14" x14ac:dyDescent="0.25">
      <c r="B103" s="66"/>
      <c r="C103" s="208"/>
      <c r="D103" s="208"/>
      <c r="E103" s="205"/>
      <c r="F103" s="27"/>
      <c r="G103" s="25"/>
      <c r="H103" s="26"/>
      <c r="K103" s="17"/>
      <c r="L103" s="70" t="str">
        <f t="shared" si="3"/>
        <v/>
      </c>
      <c r="M103" s="43"/>
      <c r="N103" s="43"/>
    </row>
    <row r="104" spans="2:14" x14ac:dyDescent="0.25">
      <c r="B104" s="66"/>
      <c r="C104" s="208"/>
      <c r="D104" s="208"/>
      <c r="E104" s="205"/>
      <c r="F104" s="27"/>
      <c r="G104" s="25"/>
      <c r="H104" s="26"/>
      <c r="K104" s="17"/>
      <c r="L104" s="70" t="str">
        <f t="shared" si="3"/>
        <v/>
      </c>
      <c r="M104" s="43"/>
      <c r="N104" s="43"/>
    </row>
    <row r="105" spans="2:14" x14ac:dyDescent="0.25">
      <c r="B105" s="66"/>
      <c r="C105" s="208"/>
      <c r="D105" s="208"/>
      <c r="E105" s="205"/>
      <c r="F105" s="27"/>
      <c r="G105" s="25"/>
      <c r="H105" s="26"/>
      <c r="K105" s="17"/>
      <c r="L105" s="70" t="str">
        <f t="shared" si="3"/>
        <v/>
      </c>
      <c r="M105" s="43"/>
      <c r="N105" s="43"/>
    </row>
    <row r="106" spans="2:14" x14ac:dyDescent="0.25">
      <c r="B106" s="66"/>
      <c r="C106" s="15"/>
      <c r="D106" s="15"/>
      <c r="E106" s="16"/>
      <c r="F106" s="27"/>
      <c r="G106" s="25"/>
      <c r="H106" s="26"/>
      <c r="K106" s="17"/>
      <c r="L106" s="70" t="str">
        <f t="shared" si="3"/>
        <v/>
      </c>
      <c r="M106" s="43"/>
      <c r="N106" s="43"/>
    </row>
    <row r="107" spans="2:14" x14ac:dyDescent="0.25">
      <c r="B107" s="66"/>
      <c r="C107" s="29"/>
      <c r="D107" s="147"/>
      <c r="E107" s="69"/>
      <c r="F107" s="27"/>
      <c r="G107" s="25"/>
      <c r="H107" s="26"/>
      <c r="K107" s="17"/>
      <c r="L107" s="70" t="str">
        <f t="shared" si="3"/>
        <v/>
      </c>
      <c r="M107" s="43"/>
      <c r="N107" s="43"/>
    </row>
    <row r="108" spans="2:14" x14ac:dyDescent="0.25">
      <c r="B108" s="66"/>
      <c r="C108" s="28"/>
      <c r="D108" s="146"/>
      <c r="E108" s="69"/>
      <c r="F108" s="27"/>
      <c r="G108" s="25"/>
      <c r="H108" s="26"/>
      <c r="K108" s="17"/>
      <c r="L108" s="70" t="str">
        <f t="shared" ref="L108:L120" si="6">IF(K108="","",K108*F108)</f>
        <v/>
      </c>
      <c r="M108" s="43"/>
      <c r="N108" s="43"/>
    </row>
    <row r="109" spans="2:14" x14ac:dyDescent="0.25">
      <c r="B109" s="66"/>
      <c r="C109" s="29"/>
      <c r="D109" s="147"/>
      <c r="E109" s="69"/>
      <c r="F109" s="27"/>
      <c r="G109" s="72"/>
      <c r="H109" s="26"/>
      <c r="K109" s="17"/>
      <c r="L109" s="70" t="str">
        <f t="shared" si="6"/>
        <v/>
      </c>
      <c r="M109" s="43"/>
      <c r="N109" s="43"/>
    </row>
    <row r="110" spans="2:14" x14ac:dyDescent="0.25">
      <c r="B110" s="66"/>
      <c r="C110" s="146"/>
      <c r="D110" s="146"/>
      <c r="E110" s="69"/>
      <c r="F110" s="27"/>
      <c r="G110" s="70"/>
      <c r="H110" s="26"/>
      <c r="K110" s="17"/>
      <c r="L110" s="70" t="str">
        <f t="shared" si="6"/>
        <v/>
      </c>
      <c r="M110" s="43"/>
      <c r="N110" s="43"/>
    </row>
    <row r="111" spans="2:14" x14ac:dyDescent="0.25">
      <c r="B111" s="66"/>
      <c r="C111" s="73"/>
      <c r="D111" s="73"/>
      <c r="E111" s="74"/>
      <c r="F111" s="27"/>
      <c r="G111" s="72"/>
      <c r="H111" s="26"/>
      <c r="K111" s="17"/>
      <c r="L111" s="70" t="str">
        <f t="shared" si="6"/>
        <v/>
      </c>
      <c r="M111" s="43"/>
      <c r="N111" s="43"/>
    </row>
    <row r="112" spans="2:14" x14ac:dyDescent="0.25">
      <c r="B112" s="66"/>
      <c r="C112" s="146"/>
      <c r="D112" s="146"/>
      <c r="E112" s="69"/>
      <c r="F112" s="27"/>
      <c r="G112" s="70"/>
      <c r="H112" s="26"/>
      <c r="K112" s="17"/>
      <c r="L112" s="70" t="str">
        <f t="shared" si="6"/>
        <v/>
      </c>
      <c r="M112" s="43"/>
      <c r="N112" s="43"/>
    </row>
    <row r="113" spans="2:14" x14ac:dyDescent="0.25">
      <c r="B113" s="66"/>
      <c r="C113" s="73"/>
      <c r="D113" s="73"/>
      <c r="E113" s="16"/>
      <c r="F113" s="27"/>
      <c r="G113" s="70"/>
      <c r="H113" s="26"/>
      <c r="K113" s="17"/>
      <c r="L113" s="70" t="str">
        <f t="shared" si="6"/>
        <v/>
      </c>
      <c r="M113" s="43"/>
      <c r="N113" s="43"/>
    </row>
    <row r="114" spans="2:14" x14ac:dyDescent="0.25">
      <c r="B114" s="66"/>
      <c r="C114" s="146"/>
      <c r="D114" s="146"/>
      <c r="E114" s="69"/>
      <c r="F114" s="27"/>
      <c r="G114" s="70"/>
      <c r="H114" s="26"/>
      <c r="K114" s="17"/>
      <c r="L114" s="70" t="str">
        <f t="shared" si="6"/>
        <v/>
      </c>
      <c r="M114" s="43"/>
      <c r="N114" s="43"/>
    </row>
    <row r="115" spans="2:14" x14ac:dyDescent="0.25">
      <c r="B115" s="66"/>
      <c r="C115" s="73"/>
      <c r="D115" s="73"/>
      <c r="E115" s="74"/>
      <c r="F115" s="27"/>
      <c r="G115" s="70"/>
      <c r="H115" s="26"/>
      <c r="K115" s="17"/>
      <c r="L115" s="70" t="str">
        <f t="shared" si="6"/>
        <v/>
      </c>
      <c r="M115" s="43"/>
      <c r="N115" s="43"/>
    </row>
    <row r="116" spans="2:14" x14ac:dyDescent="0.25">
      <c r="B116" s="66"/>
      <c r="C116" s="15"/>
      <c r="D116" s="15"/>
      <c r="E116" s="16"/>
      <c r="F116" s="27"/>
      <c r="G116" s="70"/>
      <c r="H116" s="26"/>
      <c r="K116" s="17"/>
      <c r="L116" s="70" t="str">
        <f t="shared" si="6"/>
        <v/>
      </c>
      <c r="M116" s="43"/>
      <c r="N116" s="43"/>
    </row>
    <row r="117" spans="2:14" x14ac:dyDescent="0.25">
      <c r="B117" s="66"/>
      <c r="C117" s="73"/>
      <c r="D117" s="73"/>
      <c r="E117" s="74"/>
      <c r="F117" s="27"/>
      <c r="G117" s="70"/>
      <c r="H117" s="26"/>
      <c r="K117" s="17"/>
      <c r="L117" s="70" t="str">
        <f t="shared" si="6"/>
        <v/>
      </c>
      <c r="M117" s="43"/>
      <c r="N117" s="43"/>
    </row>
    <row r="118" spans="2:14" x14ac:dyDescent="0.25">
      <c r="B118" s="66"/>
      <c r="C118" s="15"/>
      <c r="D118" s="15"/>
      <c r="E118" s="16"/>
      <c r="F118" s="27"/>
      <c r="G118" s="70"/>
      <c r="H118" s="26"/>
      <c r="K118" s="17"/>
      <c r="L118" s="70" t="str">
        <f t="shared" si="6"/>
        <v/>
      </c>
      <c r="M118" s="43"/>
      <c r="N118" s="43"/>
    </row>
    <row r="119" spans="2:14" x14ac:dyDescent="0.25">
      <c r="B119" s="66"/>
      <c r="C119" s="73"/>
      <c r="D119" s="73"/>
      <c r="E119" s="74"/>
      <c r="F119" s="27"/>
      <c r="G119" s="70"/>
      <c r="H119" s="26"/>
      <c r="K119" s="17"/>
      <c r="L119" s="70" t="str">
        <f t="shared" si="6"/>
        <v/>
      </c>
      <c r="M119" s="43"/>
      <c r="N119" s="43"/>
    </row>
    <row r="120" spans="2:14" x14ac:dyDescent="0.25">
      <c r="B120" s="66"/>
      <c r="C120" s="146"/>
      <c r="D120" s="146"/>
      <c r="E120" s="69"/>
      <c r="F120" s="27"/>
      <c r="G120" s="70"/>
      <c r="H120" s="26"/>
      <c r="K120" s="17"/>
      <c r="L120" s="70" t="str">
        <f t="shared" si="6"/>
        <v/>
      </c>
      <c r="M120" s="43"/>
      <c r="N120" s="43"/>
    </row>
    <row r="121" spans="2:14" s="31" customFormat="1" ht="19.5" customHeight="1" x14ac:dyDescent="0.25">
      <c r="B121" s="151" t="str">
        <f>$B$11</f>
        <v>C3.3</v>
      </c>
      <c r="C121" s="33" t="s">
        <v>957</v>
      </c>
      <c r="D121" s="33"/>
      <c r="E121" s="34"/>
      <c r="F121" s="35"/>
      <c r="G121" s="34"/>
      <c r="H121" s="36">
        <f>SUM(H70:H120)</f>
        <v>8370408</v>
      </c>
      <c r="I121" s="37"/>
      <c r="K121" s="454"/>
      <c r="L121" s="36">
        <f>SUM(L70:L120)</f>
        <v>322799.2</v>
      </c>
    </row>
  </sheetData>
  <mergeCells count="11">
    <mergeCell ref="B65:G65"/>
    <mergeCell ref="H65:H68"/>
    <mergeCell ref="B66:G68"/>
    <mergeCell ref="F2:H2"/>
    <mergeCell ref="B6:G8"/>
    <mergeCell ref="H5:H8"/>
    <mergeCell ref="B5:G5"/>
    <mergeCell ref="B62:E62"/>
    <mergeCell ref="F62:H64"/>
    <mergeCell ref="B63:E63"/>
    <mergeCell ref="B64:E64"/>
  </mergeCells>
  <printOptions horizontalCentered="1"/>
  <pageMargins left="0.43307086614173229" right="0.31496062992125984" top="0.43307086614173229" bottom="0.62992125984251968" header="0.35433070866141736" footer="0.31496062992125984"/>
  <pageSetup paperSize="9" scale="78"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rowBreaks count="1" manualBreakCount="1">
    <brk id="61" max="7"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31583-D943-488E-A806-8C48B7F75566}">
  <sheetPr codeName="Sheet81">
    <tabColor rgb="FF92D050"/>
  </sheetPr>
  <dimension ref="B1:N60"/>
  <sheetViews>
    <sheetView view="pageBreakPreview" zoomScaleNormal="125" zoomScaleSheetLayoutView="100" zoomScalePageLayoutView="125" workbookViewId="0">
      <pane xSplit="5" ySplit="2" topLeftCell="F17" activePane="bottomRight" state="frozen"/>
      <selection activeCell="L25" sqref="L25"/>
      <selection pane="topRight" activeCell="L25" sqref="L25"/>
      <selection pane="bottomLeft" activeCell="L25" sqref="L25"/>
      <selection pane="bottomRight" activeCell="L25" sqref="L25"/>
    </sheetView>
  </sheetViews>
  <sheetFormatPr defaultColWidth="8.6640625" defaultRowHeight="13.2" x14ac:dyDescent="0.25"/>
  <cols>
    <col min="1" max="1" width="0.6640625" style="1" customWidth="1"/>
    <col min="2" max="2" width="11.5546875" style="38" customWidth="1"/>
    <col min="3" max="3" width="45.5546875" style="3" customWidth="1"/>
    <col min="4" max="4" width="4.3320312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1" width="8.6640625" style="1"/>
    <col min="12" max="12" width="10.6640625" style="1" bestFit="1" customWidth="1"/>
    <col min="13" max="16384" width="8.6640625" style="1"/>
  </cols>
  <sheetData>
    <row r="1" spans="2:14" x14ac:dyDescent="0.25">
      <c r="H1" s="234">
        <f>MAX(H9:H500)</f>
        <v>195120</v>
      </c>
    </row>
    <row r="2" spans="2:14" x14ac:dyDescent="0.25">
      <c r="B2" s="2" t="str">
        <f>Client1</f>
        <v>Province of KwaZulu-Natal</v>
      </c>
      <c r="F2" s="510" t="str">
        <f>"Contract No. "&amp;ContractNo</f>
        <v>Contract No. ZNB02215/00000/00/HOD/INF/23/T</v>
      </c>
      <c r="G2" s="510"/>
      <c r="H2" s="510"/>
      <c r="K2" s="402"/>
      <c r="L2" s="402">
        <f>MAX(L3:L245)</f>
        <v>36838</v>
      </c>
      <c r="M2" s="402"/>
      <c r="N2" s="403"/>
    </row>
    <row r="3" spans="2:14" x14ac:dyDescent="0.25">
      <c r="B3" s="96" t="str">
        <f>Client2</f>
        <v>Department of Transport</v>
      </c>
      <c r="K3" s="1" t="s">
        <v>1421</v>
      </c>
      <c r="L3" s="1" t="s">
        <v>1422</v>
      </c>
      <c r="M3" s="1" t="s">
        <v>1423</v>
      </c>
      <c r="N3" s="1" t="s">
        <v>1424</v>
      </c>
    </row>
    <row r="4" spans="2:14" x14ac:dyDescent="0.25">
      <c r="B4" s="3"/>
      <c r="K4" s="86"/>
      <c r="L4" s="86"/>
      <c r="M4" s="86"/>
      <c r="N4" s="86"/>
    </row>
    <row r="5" spans="2:14" ht="12.75" customHeight="1" x14ac:dyDescent="0.25">
      <c r="B5" s="507" t="s">
        <v>8</v>
      </c>
      <c r="C5" s="508"/>
      <c r="D5" s="508"/>
      <c r="E5" s="508"/>
      <c r="F5" s="508"/>
      <c r="G5" s="508"/>
      <c r="H5" s="512" t="str">
        <f>"CHAPTER "&amp;B11</f>
        <v>CHAPTER C11.1</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13"/>
      <c r="I6" s="9"/>
    </row>
    <row r="7" spans="2:14" ht="12.75" customHeight="1" x14ac:dyDescent="0.25">
      <c r="B7" s="500"/>
      <c r="C7" s="501"/>
      <c r="D7" s="501"/>
      <c r="E7" s="501"/>
      <c r="F7" s="501"/>
      <c r="G7" s="501"/>
      <c r="H7" s="513"/>
      <c r="I7" s="9"/>
    </row>
    <row r="8" spans="2:14" s="10" customFormat="1" ht="7.5" customHeight="1" x14ac:dyDescent="0.25">
      <c r="B8" s="502"/>
      <c r="C8" s="503"/>
      <c r="D8" s="503"/>
      <c r="E8" s="503"/>
      <c r="F8" s="503"/>
      <c r="G8" s="503"/>
      <c r="H8" s="514"/>
      <c r="I8" s="13"/>
      <c r="K8" s="1"/>
      <c r="L8" s="1"/>
      <c r="M8" s="1"/>
      <c r="N8" s="1"/>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53"/>
      <c r="C10" s="15"/>
      <c r="D10" s="15"/>
      <c r="E10" s="16"/>
      <c r="F10" s="16"/>
      <c r="G10" s="17"/>
      <c r="H10" s="18" t="str">
        <f t="shared" ref="H10:H25" si="0">IF(E10="","",F10*G10)</f>
        <v/>
      </c>
      <c r="I10" s="19"/>
      <c r="K10" s="17"/>
      <c r="L10" s="17"/>
      <c r="M10" s="17"/>
      <c r="N10" s="17"/>
    </row>
    <row r="11" spans="2:14" ht="39.6" x14ac:dyDescent="0.25">
      <c r="B11" s="80" t="s">
        <v>733</v>
      </c>
      <c r="C11" s="21" t="s">
        <v>732</v>
      </c>
      <c r="D11" s="21"/>
      <c r="E11" s="16"/>
      <c r="F11" s="16"/>
      <c r="G11" s="17"/>
      <c r="H11" s="18" t="str">
        <f t="shared" si="0"/>
        <v/>
      </c>
      <c r="I11" s="19"/>
      <c r="K11" s="43"/>
      <c r="L11" s="43"/>
      <c r="M11" s="43"/>
      <c r="N11" s="43"/>
    </row>
    <row r="12" spans="2:14" x14ac:dyDescent="0.25">
      <c r="B12" s="53"/>
      <c r="C12" s="15"/>
      <c r="D12" s="15"/>
      <c r="E12" s="16"/>
      <c r="F12" s="16"/>
      <c r="G12" s="17"/>
      <c r="H12" s="18" t="str">
        <f t="shared" si="0"/>
        <v/>
      </c>
      <c r="I12" s="19"/>
      <c r="K12" s="43"/>
      <c r="L12" s="43"/>
      <c r="M12" s="43"/>
      <c r="N12" s="43"/>
    </row>
    <row r="13" spans="2:14" x14ac:dyDescent="0.25">
      <c r="B13" s="66" t="s">
        <v>731</v>
      </c>
      <c r="C13" s="15" t="s">
        <v>730</v>
      </c>
      <c r="D13" s="15"/>
      <c r="E13" s="16"/>
      <c r="F13" s="16"/>
      <c r="G13" s="212"/>
      <c r="H13" s="18" t="str">
        <f t="shared" si="0"/>
        <v/>
      </c>
      <c r="I13" s="19"/>
      <c r="K13" s="25"/>
      <c r="L13" s="48" t="str">
        <f t="shared" ref="L13:L46" si="1">IF(K13="","",K13*F13)</f>
        <v/>
      </c>
      <c r="M13" s="25"/>
      <c r="N13" s="25"/>
    </row>
    <row r="14" spans="2:14" x14ac:dyDescent="0.25">
      <c r="B14" s="66"/>
      <c r="C14" s="15"/>
      <c r="D14" s="15"/>
      <c r="E14" s="16"/>
      <c r="F14" s="16"/>
      <c r="G14" s="212"/>
      <c r="H14" s="18" t="str">
        <f t="shared" si="0"/>
        <v/>
      </c>
      <c r="I14" s="19"/>
      <c r="K14" s="43"/>
      <c r="L14" s="48" t="str">
        <f t="shared" si="1"/>
        <v/>
      </c>
      <c r="M14" s="43"/>
      <c r="N14" s="43"/>
    </row>
    <row r="15" spans="2:14" ht="39.6" x14ac:dyDescent="0.25">
      <c r="B15" s="53" t="s">
        <v>729</v>
      </c>
      <c r="C15" s="15" t="s">
        <v>728</v>
      </c>
      <c r="D15" s="23" t="s">
        <v>1602</v>
      </c>
      <c r="E15" s="23" t="s">
        <v>601</v>
      </c>
      <c r="F15" s="24">
        <v>20</v>
      </c>
      <c r="G15" s="212">
        <v>315</v>
      </c>
      <c r="H15" s="26">
        <f t="shared" si="0"/>
        <v>6300</v>
      </c>
      <c r="I15" s="65"/>
      <c r="K15" s="448">
        <f>_Excavation</f>
        <v>134</v>
      </c>
      <c r="L15" s="48">
        <f>IF(K15="","",K15*F15)</f>
        <v>2680</v>
      </c>
      <c r="M15" s="43"/>
      <c r="N15" s="43"/>
    </row>
    <row r="16" spans="2:14" x14ac:dyDescent="0.25">
      <c r="B16" s="66"/>
      <c r="C16" s="15"/>
      <c r="D16" s="15"/>
      <c r="E16" s="16"/>
      <c r="F16" s="27"/>
      <c r="G16" s="212" t="s">
        <v>1556</v>
      </c>
      <c r="H16" s="26" t="str">
        <f t="shared" si="0"/>
        <v/>
      </c>
      <c r="I16" s="19"/>
      <c r="K16" s="43"/>
      <c r="L16" s="48" t="str">
        <f>IF(K16="","",K16*F16)</f>
        <v/>
      </c>
      <c r="M16" s="43"/>
      <c r="N16" s="43"/>
    </row>
    <row r="17" spans="2:14" ht="39.6" x14ac:dyDescent="0.25">
      <c r="B17" s="53" t="s">
        <v>727</v>
      </c>
      <c r="C17" s="15" t="s">
        <v>726</v>
      </c>
      <c r="D17" s="23" t="s">
        <v>1602</v>
      </c>
      <c r="E17" s="23" t="s">
        <v>601</v>
      </c>
      <c r="F17" s="27">
        <v>15</v>
      </c>
      <c r="G17" s="212">
        <v>420</v>
      </c>
      <c r="H17" s="26">
        <f t="shared" si="0"/>
        <v>6300</v>
      </c>
      <c r="I17" s="19"/>
      <c r="K17" s="448">
        <f>_Excavation</f>
        <v>134</v>
      </c>
      <c r="L17" s="48">
        <f t="shared" si="1"/>
        <v>2010</v>
      </c>
      <c r="M17" s="43"/>
      <c r="N17" s="43"/>
    </row>
    <row r="18" spans="2:14" x14ac:dyDescent="0.25">
      <c r="B18" s="66"/>
      <c r="C18" s="15"/>
      <c r="D18" s="15"/>
      <c r="E18" s="16"/>
      <c r="F18" s="27"/>
      <c r="G18" s="212" t="s">
        <v>1556</v>
      </c>
      <c r="H18" s="26" t="str">
        <f t="shared" si="0"/>
        <v/>
      </c>
      <c r="I18" s="68"/>
      <c r="K18" s="43"/>
      <c r="L18" s="48" t="str">
        <f t="shared" si="1"/>
        <v/>
      </c>
      <c r="M18" s="43"/>
      <c r="N18" s="43"/>
    </row>
    <row r="19" spans="2:14" x14ac:dyDescent="0.25">
      <c r="B19" s="53" t="s">
        <v>725</v>
      </c>
      <c r="C19" s="29" t="s">
        <v>724</v>
      </c>
      <c r="D19" s="147"/>
      <c r="E19" s="23"/>
      <c r="F19" s="27"/>
      <c r="G19" s="212" t="s">
        <v>1556</v>
      </c>
      <c r="H19" s="26" t="str">
        <f t="shared" si="0"/>
        <v/>
      </c>
      <c r="I19" s="71"/>
      <c r="K19" s="43"/>
      <c r="L19" s="48" t="str">
        <f t="shared" si="1"/>
        <v/>
      </c>
      <c r="M19" s="43"/>
      <c r="N19" s="43"/>
    </row>
    <row r="20" spans="2:14" x14ac:dyDescent="0.25">
      <c r="B20" s="66"/>
      <c r="C20" s="28"/>
      <c r="D20" s="146"/>
      <c r="E20" s="69"/>
      <c r="F20" s="27"/>
      <c r="G20" s="212" t="s">
        <v>1556</v>
      </c>
      <c r="H20" s="26" t="str">
        <f t="shared" si="0"/>
        <v/>
      </c>
      <c r="I20" s="71"/>
      <c r="K20" s="43"/>
      <c r="L20" s="48" t="str">
        <f t="shared" si="1"/>
        <v/>
      </c>
      <c r="M20" s="43"/>
      <c r="N20" s="43"/>
    </row>
    <row r="21" spans="2:14" x14ac:dyDescent="0.25">
      <c r="B21" s="53" t="s">
        <v>723</v>
      </c>
      <c r="C21" s="15" t="s">
        <v>722</v>
      </c>
      <c r="D21" s="15"/>
      <c r="E21" s="23"/>
      <c r="F21" s="27"/>
      <c r="G21" s="212" t="s">
        <v>1556</v>
      </c>
      <c r="H21" s="26" t="str">
        <f t="shared" si="0"/>
        <v/>
      </c>
      <c r="I21" s="71"/>
      <c r="K21" s="43"/>
      <c r="L21" s="48" t="str">
        <f t="shared" si="1"/>
        <v/>
      </c>
      <c r="M21" s="43"/>
      <c r="N21" s="43"/>
    </row>
    <row r="22" spans="2:14" x14ac:dyDescent="0.25">
      <c r="B22" s="66"/>
      <c r="C22" s="28"/>
      <c r="D22" s="146"/>
      <c r="E22" s="69"/>
      <c r="F22" s="27"/>
      <c r="G22" s="212" t="s">
        <v>1556</v>
      </c>
      <c r="H22" s="26" t="str">
        <f t="shared" si="0"/>
        <v/>
      </c>
      <c r="I22" s="71"/>
      <c r="K22" s="43"/>
      <c r="L22" s="48" t="str">
        <f t="shared" si="1"/>
        <v/>
      </c>
      <c r="M22" s="43"/>
      <c r="N22" s="43"/>
    </row>
    <row r="23" spans="2:14" ht="13.8" x14ac:dyDescent="0.3">
      <c r="B23" s="66" t="s">
        <v>49</v>
      </c>
      <c r="C23" s="15" t="s">
        <v>721</v>
      </c>
      <c r="D23" s="23" t="s">
        <v>1602</v>
      </c>
      <c r="E23" s="69" t="s">
        <v>600</v>
      </c>
      <c r="F23" s="27">
        <v>165</v>
      </c>
      <c r="G23" s="212">
        <v>263</v>
      </c>
      <c r="H23" s="26">
        <f t="shared" si="0"/>
        <v>43395</v>
      </c>
      <c r="I23" s="71"/>
      <c r="K23" s="43">
        <f>_Mix*0.2</f>
        <v>69.600000000000009</v>
      </c>
      <c r="L23" s="48">
        <f t="shared" si="1"/>
        <v>11484.000000000002</v>
      </c>
      <c r="M23" s="43"/>
      <c r="N23" s="43"/>
    </row>
    <row r="24" spans="2:14" x14ac:dyDescent="0.25">
      <c r="B24" s="66"/>
      <c r="C24" s="28"/>
      <c r="D24" s="146"/>
      <c r="E24" s="69"/>
      <c r="F24" s="27"/>
      <c r="G24" s="212" t="s">
        <v>1556</v>
      </c>
      <c r="H24" s="26" t="str">
        <f t="shared" si="0"/>
        <v/>
      </c>
      <c r="I24" s="71"/>
      <c r="K24" s="43"/>
      <c r="L24" s="48" t="str">
        <f t="shared" si="1"/>
        <v/>
      </c>
      <c r="M24" s="43"/>
      <c r="N24" s="43"/>
    </row>
    <row r="25" spans="2:14" ht="13.8" x14ac:dyDescent="0.25">
      <c r="B25" s="53" t="s">
        <v>720</v>
      </c>
      <c r="C25" s="15" t="s">
        <v>719</v>
      </c>
      <c r="D25" s="23" t="s">
        <v>1602</v>
      </c>
      <c r="E25" s="23" t="s">
        <v>600</v>
      </c>
      <c r="F25" s="27">
        <v>165</v>
      </c>
      <c r="G25" s="212">
        <v>525</v>
      </c>
      <c r="H25" s="26">
        <f t="shared" si="0"/>
        <v>86625</v>
      </c>
      <c r="I25" s="19"/>
      <c r="K25" s="43">
        <f>_Mix*0.2</f>
        <v>69.600000000000009</v>
      </c>
      <c r="L25" s="48">
        <f t="shared" si="1"/>
        <v>11484.000000000002</v>
      </c>
      <c r="M25" s="43"/>
      <c r="N25" s="43"/>
    </row>
    <row r="26" spans="2:14" x14ac:dyDescent="0.25">
      <c r="B26" s="66"/>
      <c r="C26" s="15"/>
      <c r="D26" s="15"/>
      <c r="E26" s="16"/>
      <c r="F26" s="27"/>
      <c r="G26" s="212" t="s">
        <v>1556</v>
      </c>
      <c r="H26" s="26"/>
      <c r="I26" s="19"/>
      <c r="K26" s="43"/>
      <c r="L26" s="48" t="str">
        <f t="shared" si="1"/>
        <v/>
      </c>
      <c r="M26" s="43"/>
      <c r="N26" s="43"/>
    </row>
    <row r="27" spans="2:14" ht="13.8" x14ac:dyDescent="0.25">
      <c r="B27" s="53" t="s">
        <v>718</v>
      </c>
      <c r="C27" s="29" t="s">
        <v>980</v>
      </c>
      <c r="D27" s="23" t="s">
        <v>1602</v>
      </c>
      <c r="E27" s="23" t="s">
        <v>601</v>
      </c>
      <c r="F27" s="27">
        <v>20</v>
      </c>
      <c r="G27" s="70">
        <v>2625</v>
      </c>
      <c r="H27" s="26">
        <f>IF(E27="","",F27*G27)</f>
        <v>52500</v>
      </c>
      <c r="I27" s="19"/>
      <c r="K27" s="43">
        <v>459</v>
      </c>
      <c r="L27" s="48">
        <f t="shared" si="1"/>
        <v>9180</v>
      </c>
      <c r="M27" s="43"/>
      <c r="N27" s="43"/>
    </row>
    <row r="28" spans="2:14" x14ac:dyDescent="0.25">
      <c r="B28" s="66"/>
      <c r="C28" s="15"/>
      <c r="D28" s="15"/>
      <c r="E28" s="16"/>
      <c r="F28" s="27"/>
      <c r="G28" s="212" t="s">
        <v>1556</v>
      </c>
      <c r="H28" s="26"/>
      <c r="I28" s="19"/>
      <c r="K28" s="43"/>
      <c r="L28" s="48" t="str">
        <f t="shared" si="1"/>
        <v/>
      </c>
      <c r="M28" s="43"/>
      <c r="N28" s="43"/>
    </row>
    <row r="29" spans="2:14" x14ac:dyDescent="0.25">
      <c r="B29" s="53"/>
      <c r="C29" s="15"/>
      <c r="D29" s="15"/>
      <c r="E29" s="23"/>
      <c r="F29" s="27"/>
      <c r="G29" s="212" t="s">
        <v>1556</v>
      </c>
      <c r="H29" s="26"/>
      <c r="I29" s="65"/>
      <c r="K29" s="43"/>
      <c r="L29" s="48" t="str">
        <f t="shared" si="1"/>
        <v/>
      </c>
      <c r="M29" s="43"/>
      <c r="N29" s="43"/>
    </row>
    <row r="30" spans="2:14" x14ac:dyDescent="0.25">
      <c r="B30" s="66"/>
      <c r="C30" s="15"/>
      <c r="D30" s="15"/>
      <c r="E30" s="16"/>
      <c r="F30" s="27"/>
      <c r="G30" s="30" t="s">
        <v>1556</v>
      </c>
      <c r="H30" s="26"/>
      <c r="I30" s="19"/>
      <c r="K30" s="43"/>
      <c r="L30" s="48" t="str">
        <f t="shared" si="1"/>
        <v/>
      </c>
      <c r="M30" s="43"/>
      <c r="N30" s="43"/>
    </row>
    <row r="31" spans="2:14" x14ac:dyDescent="0.25">
      <c r="B31" s="53"/>
      <c r="C31" s="15"/>
      <c r="D31" s="15"/>
      <c r="E31" s="23"/>
      <c r="F31" s="27"/>
      <c r="G31" s="67"/>
      <c r="H31" s="26"/>
      <c r="I31" s="19"/>
      <c r="K31" s="43"/>
      <c r="L31" s="48" t="str">
        <f t="shared" si="1"/>
        <v/>
      </c>
      <c r="M31" s="43"/>
      <c r="N31" s="43"/>
    </row>
    <row r="32" spans="2:14" x14ac:dyDescent="0.25">
      <c r="B32" s="66"/>
      <c r="C32" s="15"/>
      <c r="D32" s="15"/>
      <c r="E32" s="16"/>
      <c r="F32" s="16"/>
      <c r="G32" s="17"/>
      <c r="H32" s="26"/>
      <c r="I32" s="19"/>
      <c r="K32" s="43"/>
      <c r="L32" s="48" t="str">
        <f t="shared" si="1"/>
        <v/>
      </c>
      <c r="M32" s="43"/>
      <c r="N32" s="43"/>
    </row>
    <row r="33" spans="2:14" x14ac:dyDescent="0.25">
      <c r="B33" s="53"/>
      <c r="C33" s="15"/>
      <c r="D33" s="15"/>
      <c r="E33" s="23"/>
      <c r="F33" s="16"/>
      <c r="G33" s="72"/>
      <c r="H33" s="26"/>
      <c r="I33" s="19"/>
      <c r="K33" s="43"/>
      <c r="L33" s="48" t="str">
        <f t="shared" si="1"/>
        <v/>
      </c>
      <c r="M33" s="43"/>
      <c r="N33" s="43"/>
    </row>
    <row r="34" spans="2:14" x14ac:dyDescent="0.25">
      <c r="B34" s="66"/>
      <c r="C34" s="15"/>
      <c r="D34" s="15"/>
      <c r="E34" s="16"/>
      <c r="F34" s="16"/>
      <c r="G34" s="72"/>
      <c r="H34" s="26"/>
      <c r="I34" s="19"/>
      <c r="K34" s="43"/>
      <c r="L34" s="48" t="str">
        <f t="shared" si="1"/>
        <v/>
      </c>
      <c r="M34" s="43"/>
      <c r="N34" s="43"/>
    </row>
    <row r="35" spans="2:14" x14ac:dyDescent="0.25">
      <c r="B35" s="53"/>
      <c r="C35" s="15"/>
      <c r="D35" s="15"/>
      <c r="E35" s="23"/>
      <c r="F35" s="16"/>
      <c r="G35" s="72"/>
      <c r="H35" s="26"/>
      <c r="I35" s="19"/>
      <c r="K35" s="43"/>
      <c r="L35" s="48" t="str">
        <f t="shared" si="1"/>
        <v/>
      </c>
      <c r="M35" s="43"/>
      <c r="N35" s="43"/>
    </row>
    <row r="36" spans="2:14" x14ac:dyDescent="0.25">
      <c r="B36" s="66"/>
      <c r="C36" s="15"/>
      <c r="D36" s="15"/>
      <c r="E36" s="16"/>
      <c r="F36" s="16"/>
      <c r="G36" s="72"/>
      <c r="H36" s="26"/>
      <c r="I36" s="19"/>
      <c r="K36" s="43"/>
      <c r="L36" s="48" t="str">
        <f t="shared" si="1"/>
        <v/>
      </c>
      <c r="M36" s="43"/>
      <c r="N36" s="43"/>
    </row>
    <row r="37" spans="2:14" x14ac:dyDescent="0.25">
      <c r="B37" s="53"/>
      <c r="C37" s="15"/>
      <c r="D37" s="15"/>
      <c r="E37" s="23"/>
      <c r="F37" s="16"/>
      <c r="G37" s="75"/>
      <c r="H37" s="26"/>
      <c r="I37" s="19"/>
      <c r="K37" s="43"/>
      <c r="L37" s="48" t="str">
        <f t="shared" si="1"/>
        <v/>
      </c>
      <c r="M37" s="43"/>
      <c r="N37" s="43"/>
    </row>
    <row r="38" spans="2:14" x14ac:dyDescent="0.25">
      <c r="B38" s="66"/>
      <c r="C38" s="15"/>
      <c r="D38" s="15"/>
      <c r="E38" s="16"/>
      <c r="F38" s="16"/>
      <c r="G38" s="72"/>
      <c r="H38" s="26"/>
      <c r="I38" s="19"/>
      <c r="K38" s="43"/>
      <c r="L38" s="48" t="str">
        <f t="shared" si="1"/>
        <v/>
      </c>
      <c r="M38" s="43"/>
      <c r="N38" s="43"/>
    </row>
    <row r="39" spans="2:14" x14ac:dyDescent="0.25">
      <c r="B39" s="53"/>
      <c r="C39" s="15"/>
      <c r="D39" s="15"/>
      <c r="E39" s="23"/>
      <c r="F39" s="16"/>
      <c r="G39" s="72"/>
      <c r="H39" s="26"/>
      <c r="I39" s="19"/>
      <c r="K39" s="43"/>
      <c r="L39" s="48" t="str">
        <f t="shared" si="1"/>
        <v/>
      </c>
      <c r="M39" s="43"/>
      <c r="N39" s="43"/>
    </row>
    <row r="40" spans="2:14" x14ac:dyDescent="0.25">
      <c r="B40" s="66"/>
      <c r="C40" s="15"/>
      <c r="D40" s="15"/>
      <c r="E40" s="16"/>
      <c r="F40" s="16"/>
      <c r="G40" s="72"/>
      <c r="H40" s="26"/>
      <c r="I40" s="19"/>
      <c r="K40" s="43"/>
      <c r="L40" s="48" t="str">
        <f t="shared" si="1"/>
        <v/>
      </c>
      <c r="M40" s="43"/>
      <c r="N40" s="43"/>
    </row>
    <row r="41" spans="2:14" x14ac:dyDescent="0.25">
      <c r="B41" s="53"/>
      <c r="C41" s="15"/>
      <c r="D41" s="15"/>
      <c r="E41" s="23"/>
      <c r="F41" s="69"/>
      <c r="G41" s="72"/>
      <c r="H41" s="26"/>
      <c r="I41" s="71"/>
      <c r="K41" s="43"/>
      <c r="L41" s="48" t="str">
        <f t="shared" si="1"/>
        <v/>
      </c>
      <c r="M41" s="43"/>
      <c r="N41" s="43"/>
    </row>
    <row r="42" spans="2:14" x14ac:dyDescent="0.25">
      <c r="B42" s="66"/>
      <c r="C42" s="15"/>
      <c r="D42" s="15"/>
      <c r="E42" s="16"/>
      <c r="F42" s="16"/>
      <c r="G42" s="72"/>
      <c r="H42" s="26"/>
      <c r="I42" s="19"/>
      <c r="K42" s="43"/>
      <c r="L42" s="48" t="str">
        <f t="shared" si="1"/>
        <v/>
      </c>
      <c r="M42" s="43"/>
      <c r="N42" s="43"/>
    </row>
    <row r="43" spans="2:14" x14ac:dyDescent="0.25">
      <c r="B43" s="53"/>
      <c r="C43" s="28"/>
      <c r="D43" s="146"/>
      <c r="E43" s="69"/>
      <c r="F43" s="69"/>
      <c r="G43" s="72"/>
      <c r="H43" s="26"/>
      <c r="I43" s="77"/>
      <c r="K43" s="43"/>
      <c r="L43" s="48" t="str">
        <f t="shared" si="1"/>
        <v/>
      </c>
      <c r="M43" s="43"/>
      <c r="N43" s="43"/>
    </row>
    <row r="44" spans="2:14" x14ac:dyDescent="0.25">
      <c r="B44" s="66"/>
      <c r="C44" s="28"/>
      <c r="D44" s="146"/>
      <c r="E44" s="69"/>
      <c r="F44" s="69"/>
      <c r="G44" s="72"/>
      <c r="H44" s="26"/>
      <c r="I44" s="71"/>
      <c r="K44" s="43"/>
      <c r="L44" s="48" t="str">
        <f t="shared" si="1"/>
        <v/>
      </c>
      <c r="M44" s="43"/>
      <c r="N44" s="43"/>
    </row>
    <row r="45" spans="2:14" x14ac:dyDescent="0.25">
      <c r="B45" s="66"/>
      <c r="C45" s="15"/>
      <c r="D45" s="15"/>
      <c r="E45" s="23"/>
      <c r="F45" s="16"/>
      <c r="G45" s="72"/>
      <c r="H45" s="26"/>
      <c r="I45" s="19"/>
      <c r="K45" s="43"/>
      <c r="L45" s="48" t="str">
        <f t="shared" si="1"/>
        <v/>
      </c>
      <c r="M45" s="43"/>
      <c r="N45" s="43"/>
    </row>
    <row r="46" spans="2:14" x14ac:dyDescent="0.25">
      <c r="B46" s="66"/>
      <c r="C46" s="15"/>
      <c r="D46" s="15"/>
      <c r="E46" s="16"/>
      <c r="F46" s="16"/>
      <c r="G46" s="72"/>
      <c r="H46" s="26"/>
      <c r="I46" s="19"/>
      <c r="K46" s="43"/>
      <c r="L46" s="48" t="str">
        <f t="shared" si="1"/>
        <v/>
      </c>
      <c r="M46" s="43"/>
      <c r="N46" s="43"/>
    </row>
    <row r="47" spans="2:14" x14ac:dyDescent="0.25">
      <c r="B47" s="91"/>
      <c r="C47" s="15"/>
      <c r="D47" s="15"/>
      <c r="E47" s="23"/>
      <c r="F47" s="16"/>
      <c r="G47" s="72"/>
      <c r="H47" s="26"/>
      <c r="I47" s="19"/>
    </row>
    <row r="48" spans="2:14" x14ac:dyDescent="0.25">
      <c r="B48" s="66"/>
      <c r="C48" s="15"/>
      <c r="D48" s="15"/>
      <c r="E48" s="16"/>
      <c r="F48" s="16"/>
      <c r="G48" s="72"/>
      <c r="H48" s="26"/>
      <c r="I48" s="19"/>
    </row>
    <row r="49" spans="2:12" x14ac:dyDescent="0.25">
      <c r="B49" s="66"/>
      <c r="C49" s="15"/>
      <c r="D49" s="15"/>
      <c r="E49" s="23"/>
      <c r="F49" s="16"/>
      <c r="G49" s="17"/>
      <c r="H49" s="26"/>
      <c r="I49" s="19"/>
    </row>
    <row r="50" spans="2:12" x14ac:dyDescent="0.25">
      <c r="B50" s="53"/>
      <c r="C50" s="15"/>
      <c r="D50" s="15"/>
      <c r="E50" s="16"/>
      <c r="F50" s="16"/>
      <c r="G50" s="17"/>
      <c r="H50" s="18"/>
    </row>
    <row r="51" spans="2:12" x14ac:dyDescent="0.25">
      <c r="B51" s="53"/>
      <c r="C51" s="28"/>
      <c r="D51" s="146"/>
      <c r="E51" s="16"/>
      <c r="F51" s="16"/>
      <c r="G51" s="17"/>
      <c r="H51" s="18"/>
    </row>
    <row r="52" spans="2:12" x14ac:dyDescent="0.25">
      <c r="B52" s="53"/>
      <c r="C52" s="15"/>
      <c r="D52" s="15"/>
      <c r="E52" s="16"/>
      <c r="F52" s="16"/>
      <c r="G52" s="17"/>
      <c r="H52" s="18"/>
    </row>
    <row r="53" spans="2:12" x14ac:dyDescent="0.25">
      <c r="B53" s="66"/>
      <c r="C53" s="15"/>
      <c r="D53" s="15"/>
      <c r="E53" s="23"/>
      <c r="F53" s="16"/>
      <c r="G53" s="17"/>
      <c r="H53" s="18"/>
    </row>
    <row r="54" spans="2:12" x14ac:dyDescent="0.25">
      <c r="B54" s="66"/>
      <c r="C54" s="15"/>
      <c r="D54" s="15"/>
      <c r="E54" s="16"/>
      <c r="F54" s="16"/>
      <c r="G54" s="17"/>
      <c r="H54" s="18"/>
    </row>
    <row r="55" spans="2:12" x14ac:dyDescent="0.25">
      <c r="B55" s="91"/>
      <c r="C55" s="15"/>
      <c r="D55" s="15"/>
      <c r="E55" s="23"/>
      <c r="F55" s="24"/>
      <c r="G55" s="25"/>
      <c r="H55" s="26"/>
    </row>
    <row r="56" spans="2:12" x14ac:dyDescent="0.25">
      <c r="B56" s="66"/>
      <c r="C56" s="15"/>
      <c r="D56" s="15"/>
      <c r="E56" s="16"/>
      <c r="F56" s="27"/>
      <c r="G56" s="17"/>
      <c r="H56" s="26"/>
    </row>
    <row r="57" spans="2:12" x14ac:dyDescent="0.25">
      <c r="B57" s="66"/>
      <c r="C57" s="15"/>
      <c r="D57" s="15"/>
      <c r="E57" s="23"/>
      <c r="F57" s="27"/>
      <c r="G57" s="67"/>
      <c r="H57" s="26"/>
    </row>
    <row r="58" spans="2:12" x14ac:dyDescent="0.25">
      <c r="B58" s="66"/>
      <c r="C58" s="15"/>
      <c r="D58" s="15"/>
      <c r="E58" s="23"/>
      <c r="F58" s="27"/>
      <c r="G58" s="67"/>
      <c r="H58" s="26"/>
    </row>
    <row r="59" spans="2:12" x14ac:dyDescent="0.25">
      <c r="B59" s="66"/>
      <c r="C59" s="15"/>
      <c r="D59" s="15"/>
      <c r="E59" s="16"/>
      <c r="F59" s="27"/>
      <c r="G59" s="17"/>
      <c r="H59" s="26" t="str">
        <f>IF(E59="","",F59*G59)</f>
        <v/>
      </c>
    </row>
    <row r="60" spans="2:12" s="31" customFormat="1" ht="19.5" customHeight="1" x14ac:dyDescent="0.25">
      <c r="B60" s="151" t="str">
        <f>$B$11</f>
        <v>C11.1</v>
      </c>
      <c r="C60" s="33" t="s">
        <v>957</v>
      </c>
      <c r="D60" s="33"/>
      <c r="E60" s="34"/>
      <c r="F60" s="35"/>
      <c r="G60" s="34"/>
      <c r="H60" s="36">
        <f>SUM(H10:H59)</f>
        <v>195120</v>
      </c>
      <c r="I60" s="37"/>
      <c r="L60" s="36">
        <f>SUM(L10:L59)</f>
        <v>36838</v>
      </c>
    </row>
  </sheetData>
  <mergeCells count="4">
    <mergeCell ref="F2:H2"/>
    <mergeCell ref="H5:H8"/>
    <mergeCell ref="B5:G5"/>
    <mergeCell ref="B6:G8"/>
  </mergeCells>
  <printOptions horizontalCentered="1"/>
  <pageMargins left="0.43307086614173229" right="0.31496062992125984" top="0.43307086614173229" bottom="0.62992125984251968" header="0.35433070866141736" footer="0.31496062992125984"/>
  <pageSetup paperSize="9" scale="79"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9462A-7895-4B7C-AF5D-3C5564305922}">
  <sheetPr codeName="Sheet82">
    <tabColor rgb="FF92D050"/>
  </sheetPr>
  <dimension ref="B1:N60"/>
  <sheetViews>
    <sheetView view="pageBreakPreview" topLeftCell="A34" zoomScaleNormal="125" zoomScaleSheetLayoutView="100" zoomScalePageLayoutView="125" workbookViewId="0">
      <selection activeCell="L25" sqref="L25"/>
    </sheetView>
  </sheetViews>
  <sheetFormatPr defaultColWidth="8.6640625" defaultRowHeight="13.2" x14ac:dyDescent="0.25"/>
  <cols>
    <col min="1" max="1" width="0.6640625" style="1" customWidth="1"/>
    <col min="2" max="2" width="11.5546875" style="38" customWidth="1"/>
    <col min="3" max="3" width="45.5546875" style="3" customWidth="1"/>
    <col min="4" max="4" width="4" style="3" customWidth="1"/>
    <col min="5" max="5" width="13.5546875" style="4" customWidth="1"/>
    <col min="6" max="6" width="15.5546875" style="4" customWidth="1"/>
    <col min="7" max="7" width="15.5546875" style="1" customWidth="1"/>
    <col min="8" max="8" width="15.5546875" style="5" customWidth="1"/>
    <col min="9" max="9" width="0.6640625" style="5" customWidth="1"/>
    <col min="10" max="11" width="8.6640625" style="1"/>
    <col min="12" max="12" width="13.44140625" style="1" bestFit="1" customWidth="1"/>
    <col min="13" max="16384" width="8.6640625" style="1"/>
  </cols>
  <sheetData>
    <row r="1" spans="2:14" x14ac:dyDescent="0.25">
      <c r="H1" s="234">
        <f>MAX(H9:H500)</f>
        <v>4598546</v>
      </c>
    </row>
    <row r="2" spans="2:14" x14ac:dyDescent="0.25">
      <c r="B2" s="2" t="str">
        <f>Client1</f>
        <v>Province of KwaZulu-Natal</v>
      </c>
      <c r="F2" s="510" t="str">
        <f>"Contract No. "&amp;ContractNo</f>
        <v>Contract No. ZNB02215/00000/00/HOD/INF/23/T</v>
      </c>
      <c r="G2" s="510"/>
      <c r="H2" s="510"/>
      <c r="K2" s="402"/>
      <c r="L2" s="402">
        <f>MAX(L3:L245)</f>
        <v>1015725.7</v>
      </c>
      <c r="M2" s="402"/>
      <c r="N2" s="403"/>
    </row>
    <row r="3" spans="2:14" x14ac:dyDescent="0.25">
      <c r="B3" s="96" t="str">
        <f>Client2</f>
        <v>Department of Transport</v>
      </c>
      <c r="K3" s="1" t="s">
        <v>1421</v>
      </c>
      <c r="L3" s="1" t="s">
        <v>1422</v>
      </c>
      <c r="M3" s="1" t="s">
        <v>1423</v>
      </c>
      <c r="N3" s="1" t="s">
        <v>1424</v>
      </c>
    </row>
    <row r="4" spans="2:14" x14ac:dyDescent="0.25">
      <c r="B4" s="3"/>
      <c r="K4" s="86"/>
      <c r="L4" s="86"/>
      <c r="M4" s="86"/>
      <c r="N4" s="86"/>
    </row>
    <row r="5" spans="2:14" ht="12.75" customHeight="1" x14ac:dyDescent="0.25">
      <c r="B5" s="507" t="s">
        <v>8</v>
      </c>
      <c r="C5" s="508"/>
      <c r="D5" s="508"/>
      <c r="E5" s="508"/>
      <c r="F5" s="508"/>
      <c r="G5" s="508"/>
      <c r="H5" s="512" t="str">
        <f>"CHAPTER "&amp;B11</f>
        <v>CHAPTER C11.2</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13"/>
      <c r="I6" s="9"/>
    </row>
    <row r="7" spans="2:14" ht="12.75" customHeight="1" x14ac:dyDescent="0.25">
      <c r="B7" s="500"/>
      <c r="C7" s="501"/>
      <c r="D7" s="501"/>
      <c r="E7" s="501"/>
      <c r="F7" s="501"/>
      <c r="G7" s="501"/>
      <c r="H7" s="513"/>
      <c r="I7" s="9"/>
    </row>
    <row r="8" spans="2:14" s="10" customFormat="1" ht="7.5" customHeight="1" x14ac:dyDescent="0.25">
      <c r="B8" s="502"/>
      <c r="C8" s="503"/>
      <c r="D8" s="503"/>
      <c r="E8" s="503"/>
      <c r="F8" s="503"/>
      <c r="G8" s="503"/>
      <c r="H8" s="514"/>
      <c r="I8" s="13"/>
      <c r="K8" s="1"/>
      <c r="L8" s="1"/>
      <c r="M8" s="1"/>
      <c r="N8" s="1"/>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53"/>
      <c r="C10" s="15"/>
      <c r="D10" s="15"/>
      <c r="E10" s="16"/>
      <c r="F10" s="16"/>
      <c r="G10" s="17"/>
      <c r="H10" s="18" t="str">
        <f t="shared" ref="H10:H51" si="0">IF(E10="","",F10*G10)</f>
        <v/>
      </c>
      <c r="I10" s="19"/>
      <c r="K10" s="17"/>
      <c r="L10" s="17"/>
      <c r="M10" s="17"/>
      <c r="N10" s="17"/>
    </row>
    <row r="11" spans="2:14" x14ac:dyDescent="0.25">
      <c r="B11" s="80" t="s">
        <v>978</v>
      </c>
      <c r="C11" s="21" t="s">
        <v>979</v>
      </c>
      <c r="D11" s="21"/>
      <c r="E11" s="16"/>
      <c r="F11" s="16"/>
      <c r="G11" s="17"/>
      <c r="H11" s="18" t="str">
        <f t="shared" si="0"/>
        <v/>
      </c>
      <c r="I11" s="19"/>
      <c r="K11" s="43"/>
      <c r="L11" s="43"/>
      <c r="M11" s="43"/>
      <c r="N11" s="43"/>
    </row>
    <row r="12" spans="2:14" x14ac:dyDescent="0.25">
      <c r="B12" s="53"/>
      <c r="C12" s="15"/>
      <c r="D12" s="15"/>
      <c r="E12" s="16"/>
      <c r="F12" s="16"/>
      <c r="G12" s="213"/>
      <c r="H12" s="18" t="str">
        <f t="shared" si="0"/>
        <v/>
      </c>
      <c r="I12" s="19"/>
      <c r="K12" s="43"/>
      <c r="L12" s="43"/>
      <c r="M12" s="43"/>
      <c r="N12" s="43"/>
    </row>
    <row r="13" spans="2:14" x14ac:dyDescent="0.25">
      <c r="B13" s="53" t="s">
        <v>750</v>
      </c>
      <c r="C13" s="15" t="s">
        <v>655</v>
      </c>
      <c r="D13" s="15"/>
      <c r="E13" s="16"/>
      <c r="F13" s="16"/>
      <c r="G13" s="213"/>
      <c r="H13" s="18" t="str">
        <f t="shared" si="0"/>
        <v/>
      </c>
      <c r="I13" s="19"/>
      <c r="K13" s="25"/>
      <c r="L13" s="48" t="str">
        <f t="shared" ref="L13:L50" si="1">IF(K13="","",K13*F13)</f>
        <v/>
      </c>
      <c r="M13" s="25"/>
      <c r="N13" s="25"/>
    </row>
    <row r="14" spans="2:14" x14ac:dyDescent="0.25">
      <c r="B14" s="53"/>
      <c r="C14" s="15"/>
      <c r="D14" s="15"/>
      <c r="E14" s="16"/>
      <c r="F14" s="16"/>
      <c r="G14" s="213"/>
      <c r="H14" s="18" t="str">
        <f t="shared" si="0"/>
        <v/>
      </c>
      <c r="I14" s="19"/>
      <c r="K14" s="43"/>
      <c r="L14" s="48" t="str">
        <f t="shared" si="1"/>
        <v/>
      </c>
      <c r="M14" s="43"/>
      <c r="N14" s="43"/>
    </row>
    <row r="15" spans="2:14" ht="26.4" x14ac:dyDescent="0.25">
      <c r="B15" s="66" t="s">
        <v>749</v>
      </c>
      <c r="C15" s="15" t="s">
        <v>654</v>
      </c>
      <c r="D15" s="15"/>
      <c r="E15" s="16"/>
      <c r="F15" s="16"/>
      <c r="G15" s="213"/>
      <c r="H15" s="18" t="str">
        <f t="shared" si="0"/>
        <v/>
      </c>
      <c r="I15" s="19"/>
      <c r="K15" s="43"/>
      <c r="L15" s="48" t="str">
        <f t="shared" si="1"/>
        <v/>
      </c>
      <c r="M15" s="43"/>
      <c r="N15" s="43"/>
    </row>
    <row r="16" spans="2:14" x14ac:dyDescent="0.25">
      <c r="B16" s="66"/>
      <c r="C16" s="15"/>
      <c r="D16" s="15"/>
      <c r="E16" s="16"/>
      <c r="F16" s="27"/>
      <c r="G16" s="213"/>
      <c r="H16" s="18" t="str">
        <f t="shared" si="0"/>
        <v/>
      </c>
      <c r="I16" s="19"/>
      <c r="K16" s="43"/>
      <c r="L16" s="48" t="str">
        <f t="shared" si="1"/>
        <v/>
      </c>
      <c r="M16" s="43"/>
      <c r="N16" s="43"/>
    </row>
    <row r="17" spans="2:14" ht="13.8" x14ac:dyDescent="0.25">
      <c r="B17" s="53" t="s">
        <v>49</v>
      </c>
      <c r="C17" s="15" t="s">
        <v>748</v>
      </c>
      <c r="D17" s="15"/>
      <c r="E17" s="23" t="s">
        <v>601</v>
      </c>
      <c r="F17" s="27">
        <v>100</v>
      </c>
      <c r="G17" s="213">
        <v>189</v>
      </c>
      <c r="H17" s="18">
        <f t="shared" si="0"/>
        <v>18900</v>
      </c>
      <c r="I17" s="19"/>
      <c r="K17" s="43">
        <f>_Excavation</f>
        <v>134</v>
      </c>
      <c r="L17" s="48">
        <f t="shared" si="1"/>
        <v>13400</v>
      </c>
      <c r="M17" s="43"/>
      <c r="N17" s="43"/>
    </row>
    <row r="18" spans="2:14" x14ac:dyDescent="0.25">
      <c r="B18" s="66"/>
      <c r="C18" s="15"/>
      <c r="D18" s="15"/>
      <c r="E18" s="16"/>
      <c r="F18" s="27"/>
      <c r="G18" s="213" t="s">
        <v>1556</v>
      </c>
      <c r="H18" s="18" t="str">
        <f t="shared" si="0"/>
        <v/>
      </c>
      <c r="I18" s="68"/>
      <c r="K18" s="43"/>
      <c r="L18" s="48" t="str">
        <f t="shared" si="1"/>
        <v/>
      </c>
      <c r="M18" s="43"/>
      <c r="N18" s="43"/>
    </row>
    <row r="19" spans="2:14" x14ac:dyDescent="0.25">
      <c r="B19" s="53" t="s">
        <v>51</v>
      </c>
      <c r="C19" s="29" t="s">
        <v>747</v>
      </c>
      <c r="D19" s="147"/>
      <c r="E19" s="23" t="s">
        <v>676</v>
      </c>
      <c r="F19" s="27">
        <v>100</v>
      </c>
      <c r="G19" s="213">
        <v>210</v>
      </c>
      <c r="H19" s="18">
        <f t="shared" si="0"/>
        <v>21000</v>
      </c>
      <c r="I19" s="71"/>
      <c r="K19" s="43"/>
      <c r="L19" s="48" t="str">
        <f t="shared" si="1"/>
        <v/>
      </c>
      <c r="M19" s="43"/>
      <c r="N19" s="43"/>
    </row>
    <row r="20" spans="2:14" x14ac:dyDescent="0.25">
      <c r="B20" s="66"/>
      <c r="C20" s="28"/>
      <c r="D20" s="146"/>
      <c r="E20" s="69"/>
      <c r="F20" s="27"/>
      <c r="G20" s="213" t="s">
        <v>1556</v>
      </c>
      <c r="H20" s="18" t="str">
        <f t="shared" si="0"/>
        <v/>
      </c>
      <c r="I20" s="71"/>
      <c r="K20" s="43"/>
      <c r="L20" s="48" t="str">
        <f t="shared" si="1"/>
        <v/>
      </c>
      <c r="M20" s="43"/>
      <c r="N20" s="43"/>
    </row>
    <row r="21" spans="2:14" ht="13.8" x14ac:dyDescent="0.25">
      <c r="B21" s="53" t="s">
        <v>65</v>
      </c>
      <c r="C21" s="15" t="s">
        <v>746</v>
      </c>
      <c r="D21" s="15"/>
      <c r="E21" s="23" t="s">
        <v>601</v>
      </c>
      <c r="F21" s="27">
        <v>50</v>
      </c>
      <c r="G21" s="213">
        <v>231</v>
      </c>
      <c r="H21" s="18">
        <f t="shared" si="0"/>
        <v>11550</v>
      </c>
      <c r="I21" s="71"/>
      <c r="K21" s="43"/>
      <c r="L21" s="48" t="str">
        <f t="shared" si="1"/>
        <v/>
      </c>
      <c r="M21" s="43"/>
      <c r="N21" s="43"/>
    </row>
    <row r="22" spans="2:14" x14ac:dyDescent="0.25">
      <c r="B22" s="66"/>
      <c r="C22" s="28"/>
      <c r="D22" s="146"/>
      <c r="E22" s="69"/>
      <c r="F22" s="27"/>
      <c r="G22" s="213" t="s">
        <v>1556</v>
      </c>
      <c r="H22" s="18" t="str">
        <f t="shared" si="0"/>
        <v/>
      </c>
      <c r="I22" s="71"/>
      <c r="K22" s="43"/>
      <c r="L22" s="48" t="str">
        <f t="shared" si="1"/>
        <v/>
      </c>
      <c r="M22" s="43"/>
      <c r="N22" s="43"/>
    </row>
    <row r="23" spans="2:14" ht="26.4" x14ac:dyDescent="0.25">
      <c r="B23" s="53" t="s">
        <v>745</v>
      </c>
      <c r="C23" s="15" t="s">
        <v>653</v>
      </c>
      <c r="D23" s="15"/>
      <c r="E23" s="23" t="s">
        <v>601</v>
      </c>
      <c r="F23" s="27">
        <v>200</v>
      </c>
      <c r="G23" s="213">
        <v>1470</v>
      </c>
      <c r="H23" s="18">
        <f t="shared" si="0"/>
        <v>294000</v>
      </c>
      <c r="I23" s="71"/>
      <c r="K23" s="43"/>
      <c r="L23" s="48" t="str">
        <f t="shared" si="1"/>
        <v/>
      </c>
      <c r="M23" s="43"/>
      <c r="N23" s="43"/>
    </row>
    <row r="24" spans="2:14" x14ac:dyDescent="0.25">
      <c r="B24" s="66"/>
      <c r="C24" s="15"/>
      <c r="D24" s="15"/>
      <c r="E24" s="16"/>
      <c r="F24" s="27"/>
      <c r="G24" s="213" t="s">
        <v>1556</v>
      </c>
      <c r="H24" s="18" t="str">
        <f t="shared" si="0"/>
        <v/>
      </c>
      <c r="I24" s="71"/>
      <c r="K24" s="43"/>
      <c r="L24" s="48" t="str">
        <f t="shared" si="1"/>
        <v/>
      </c>
      <c r="M24" s="43"/>
      <c r="N24" s="43"/>
    </row>
    <row r="25" spans="2:14" ht="39.6" x14ac:dyDescent="0.25">
      <c r="B25" s="53" t="s">
        <v>744</v>
      </c>
      <c r="C25" s="29" t="s">
        <v>743</v>
      </c>
      <c r="D25" s="23" t="s">
        <v>1602</v>
      </c>
      <c r="E25" s="23" t="s">
        <v>601</v>
      </c>
      <c r="F25" s="27">
        <v>500</v>
      </c>
      <c r="G25" s="213">
        <v>263</v>
      </c>
      <c r="H25" s="18">
        <f t="shared" si="0"/>
        <v>131500</v>
      </c>
      <c r="I25" s="19"/>
      <c r="K25" s="43">
        <f>_Excavation</f>
        <v>134</v>
      </c>
      <c r="L25" s="48">
        <f t="shared" si="1"/>
        <v>67000</v>
      </c>
      <c r="M25" s="43"/>
      <c r="N25" s="43"/>
    </row>
    <row r="26" spans="2:14" x14ac:dyDescent="0.25">
      <c r="B26" s="66"/>
      <c r="C26" s="15"/>
      <c r="D26" s="15"/>
      <c r="E26" s="16"/>
      <c r="F26" s="27"/>
      <c r="G26" s="213" t="s">
        <v>1556</v>
      </c>
      <c r="H26" s="18" t="str">
        <f t="shared" si="0"/>
        <v/>
      </c>
      <c r="I26" s="19"/>
      <c r="K26" s="43"/>
      <c r="L26" s="48" t="str">
        <f t="shared" si="1"/>
        <v/>
      </c>
      <c r="M26" s="43"/>
      <c r="N26" s="43"/>
    </row>
    <row r="27" spans="2:14" ht="39.6" x14ac:dyDescent="0.25">
      <c r="B27" s="53" t="s">
        <v>742</v>
      </c>
      <c r="C27" s="15" t="s">
        <v>741</v>
      </c>
      <c r="D27" s="23" t="s">
        <v>1602</v>
      </c>
      <c r="E27" s="23" t="s">
        <v>601</v>
      </c>
      <c r="F27" s="27">
        <v>300</v>
      </c>
      <c r="G27" s="213">
        <v>347</v>
      </c>
      <c r="H27" s="18">
        <f t="shared" si="0"/>
        <v>104100</v>
      </c>
      <c r="I27" s="65"/>
      <c r="K27" s="43">
        <f>_Excavation</f>
        <v>134</v>
      </c>
      <c r="L27" s="48">
        <f t="shared" si="1"/>
        <v>40200</v>
      </c>
      <c r="M27" s="43"/>
      <c r="N27" s="43"/>
    </row>
    <row r="28" spans="2:14" x14ac:dyDescent="0.25">
      <c r="B28" s="66"/>
      <c r="C28" s="15"/>
      <c r="D28" s="15"/>
      <c r="E28" s="16"/>
      <c r="F28" s="27"/>
      <c r="G28" s="213" t="s">
        <v>1556</v>
      </c>
      <c r="H28" s="18" t="str">
        <f t="shared" si="0"/>
        <v/>
      </c>
      <c r="I28" s="19"/>
      <c r="K28" s="43"/>
      <c r="L28" s="48" t="str">
        <f t="shared" si="1"/>
        <v/>
      </c>
      <c r="M28" s="43"/>
      <c r="N28" s="43"/>
    </row>
    <row r="29" spans="2:14" ht="26.4" x14ac:dyDescent="0.25">
      <c r="B29" s="53" t="s">
        <v>740</v>
      </c>
      <c r="C29" s="15" t="s">
        <v>739</v>
      </c>
      <c r="D29" s="15"/>
      <c r="E29" s="23" t="s">
        <v>600</v>
      </c>
      <c r="F29" s="27">
        <v>1178</v>
      </c>
      <c r="G29" s="213">
        <v>47</v>
      </c>
      <c r="H29" s="18">
        <f t="shared" si="0"/>
        <v>55366</v>
      </c>
      <c r="I29" s="19"/>
      <c r="K29" s="43">
        <f>_Excavation*10%</f>
        <v>13.4</v>
      </c>
      <c r="L29" s="48">
        <f t="shared" si="1"/>
        <v>15785.2</v>
      </c>
      <c r="M29" s="43"/>
      <c r="N29" s="43"/>
    </row>
    <row r="30" spans="2:14" x14ac:dyDescent="0.25">
      <c r="B30" s="66"/>
      <c r="C30" s="15"/>
      <c r="D30" s="15"/>
      <c r="E30" s="16"/>
      <c r="F30" s="27"/>
      <c r="G30" s="213" t="s">
        <v>1556</v>
      </c>
      <c r="H30" s="18" t="str">
        <f t="shared" si="0"/>
        <v/>
      </c>
      <c r="I30" s="19"/>
      <c r="K30" s="43"/>
      <c r="L30" s="48" t="str">
        <f t="shared" si="1"/>
        <v/>
      </c>
      <c r="M30" s="43"/>
      <c r="N30" s="43"/>
    </row>
    <row r="31" spans="2:14" x14ac:dyDescent="0.25">
      <c r="B31" s="53" t="s">
        <v>738</v>
      </c>
      <c r="C31" s="15" t="s">
        <v>737</v>
      </c>
      <c r="D31" s="15"/>
      <c r="E31" s="23"/>
      <c r="F31" s="27"/>
      <c r="G31" s="213" t="s">
        <v>1556</v>
      </c>
      <c r="H31" s="18" t="str">
        <f t="shared" si="0"/>
        <v/>
      </c>
      <c r="I31" s="19"/>
      <c r="K31" s="43"/>
      <c r="L31" s="48" t="str">
        <f t="shared" si="1"/>
        <v/>
      </c>
      <c r="M31" s="43"/>
      <c r="N31" s="43"/>
    </row>
    <row r="32" spans="2:14" x14ac:dyDescent="0.25">
      <c r="B32" s="66"/>
      <c r="C32" s="15"/>
      <c r="D32" s="15"/>
      <c r="E32" s="16"/>
      <c r="F32" s="27"/>
      <c r="G32" s="213" t="s">
        <v>1556</v>
      </c>
      <c r="H32" s="18" t="str">
        <f t="shared" si="0"/>
        <v/>
      </c>
      <c r="I32" s="19"/>
      <c r="K32" s="43"/>
      <c r="L32" s="48" t="str">
        <f t="shared" si="1"/>
        <v/>
      </c>
      <c r="M32" s="43"/>
      <c r="N32" s="43"/>
    </row>
    <row r="33" spans="2:14" x14ac:dyDescent="0.25">
      <c r="B33" s="53" t="s">
        <v>736</v>
      </c>
      <c r="C33" s="29" t="s">
        <v>652</v>
      </c>
      <c r="D33" s="147"/>
      <c r="E33" s="23"/>
      <c r="F33" s="27"/>
      <c r="G33" s="213" t="s">
        <v>1556</v>
      </c>
      <c r="H33" s="18" t="str">
        <f t="shared" si="0"/>
        <v/>
      </c>
      <c r="I33" s="65"/>
      <c r="K33" s="43"/>
      <c r="L33" s="48" t="str">
        <f t="shared" si="1"/>
        <v/>
      </c>
      <c r="M33" s="43"/>
      <c r="N33" s="43"/>
    </row>
    <row r="34" spans="2:14" x14ac:dyDescent="0.25">
      <c r="B34" s="53"/>
      <c r="C34" s="147"/>
      <c r="D34" s="147"/>
      <c r="E34" s="23"/>
      <c r="F34" s="27"/>
      <c r="G34" s="213" t="s">
        <v>1556</v>
      </c>
      <c r="H34" s="18" t="str">
        <f t="shared" si="0"/>
        <v/>
      </c>
      <c r="I34" s="65"/>
      <c r="K34" s="43"/>
      <c r="L34" s="48" t="str">
        <f t="shared" si="1"/>
        <v/>
      </c>
      <c r="M34" s="43"/>
      <c r="N34" s="43"/>
    </row>
    <row r="35" spans="2:14" ht="34.200000000000003" x14ac:dyDescent="0.25">
      <c r="B35" s="53"/>
      <c r="C35" s="214" t="s">
        <v>1135</v>
      </c>
      <c r="D35" s="23" t="s">
        <v>1602</v>
      </c>
      <c r="E35" s="215" t="s">
        <v>676</v>
      </c>
      <c r="F35" s="27">
        <v>2355</v>
      </c>
      <c r="G35" s="213">
        <v>1260</v>
      </c>
      <c r="H35" s="18">
        <f t="shared" si="0"/>
        <v>2967300</v>
      </c>
      <c r="I35" s="65"/>
      <c r="K35" s="447">
        <v>296</v>
      </c>
      <c r="L35" s="48">
        <f t="shared" si="1"/>
        <v>697080</v>
      </c>
      <c r="M35" s="43"/>
      <c r="N35" s="43"/>
    </row>
    <row r="36" spans="2:14" x14ac:dyDescent="0.25">
      <c r="B36" s="66"/>
      <c r="C36" s="15"/>
      <c r="D36" s="15"/>
      <c r="E36" s="16"/>
      <c r="F36" s="16"/>
      <c r="G36" s="213" t="s">
        <v>1556</v>
      </c>
      <c r="H36" s="18" t="str">
        <f t="shared" si="0"/>
        <v/>
      </c>
      <c r="I36" s="19"/>
      <c r="K36" s="43"/>
      <c r="L36" s="48" t="str">
        <f t="shared" si="1"/>
        <v/>
      </c>
      <c r="M36" s="43"/>
      <c r="N36" s="43"/>
    </row>
    <row r="37" spans="2:14" ht="26.4" x14ac:dyDescent="0.25">
      <c r="B37" s="53" t="s">
        <v>735</v>
      </c>
      <c r="C37" s="15" t="s">
        <v>651</v>
      </c>
      <c r="D37" s="15"/>
      <c r="E37" s="23"/>
      <c r="F37" s="16"/>
      <c r="G37" s="213" t="s">
        <v>1556</v>
      </c>
      <c r="H37" s="18" t="str">
        <f t="shared" si="0"/>
        <v/>
      </c>
      <c r="I37" s="19"/>
      <c r="K37" s="43"/>
      <c r="L37" s="48" t="str">
        <f t="shared" si="1"/>
        <v/>
      </c>
      <c r="M37" s="43"/>
      <c r="N37" s="43"/>
    </row>
    <row r="38" spans="2:14" x14ac:dyDescent="0.25">
      <c r="B38" s="53"/>
      <c r="C38" s="15"/>
      <c r="D38" s="15"/>
      <c r="E38" s="23"/>
      <c r="F38" s="16"/>
      <c r="G38" s="213" t="s">
        <v>1556</v>
      </c>
      <c r="H38" s="18" t="str">
        <f t="shared" si="0"/>
        <v/>
      </c>
      <c r="I38" s="19"/>
      <c r="K38" s="43"/>
      <c r="L38" s="48" t="str">
        <f t="shared" si="1"/>
        <v/>
      </c>
      <c r="M38" s="43"/>
      <c r="N38" s="43"/>
    </row>
    <row r="39" spans="2:14" ht="34.200000000000003" x14ac:dyDescent="0.25">
      <c r="B39" s="53"/>
      <c r="C39" s="214" t="s">
        <v>1136</v>
      </c>
      <c r="D39" s="23" t="s">
        <v>1602</v>
      </c>
      <c r="E39" s="215" t="s">
        <v>676</v>
      </c>
      <c r="F39" s="16">
        <v>428</v>
      </c>
      <c r="G39" s="213">
        <v>1470</v>
      </c>
      <c r="H39" s="18">
        <f t="shared" si="0"/>
        <v>629160</v>
      </c>
      <c r="I39" s="19"/>
      <c r="K39" s="447">
        <v>296</v>
      </c>
      <c r="L39" s="48">
        <f t="shared" si="1"/>
        <v>126688</v>
      </c>
      <c r="M39" s="43"/>
      <c r="N39" s="43"/>
    </row>
    <row r="40" spans="2:14" x14ac:dyDescent="0.25">
      <c r="B40" s="53"/>
      <c r="C40" s="15"/>
      <c r="D40" s="15"/>
      <c r="E40" s="23"/>
      <c r="F40" s="16"/>
      <c r="G40" s="213" t="s">
        <v>1556</v>
      </c>
      <c r="H40" s="18" t="str">
        <f t="shared" si="0"/>
        <v/>
      </c>
      <c r="I40" s="19"/>
      <c r="K40" s="43"/>
      <c r="L40" s="48" t="str">
        <f t="shared" si="1"/>
        <v/>
      </c>
      <c r="M40" s="43"/>
      <c r="N40" s="43"/>
    </row>
    <row r="41" spans="2:14" x14ac:dyDescent="0.25">
      <c r="B41" s="66"/>
      <c r="C41" s="15"/>
      <c r="D41" s="15"/>
      <c r="E41" s="16"/>
      <c r="F41" s="16"/>
      <c r="G41" s="213" t="s">
        <v>1556</v>
      </c>
      <c r="H41" s="18" t="str">
        <f t="shared" si="0"/>
        <v/>
      </c>
      <c r="I41" s="19"/>
      <c r="K41" s="43"/>
      <c r="L41" s="48" t="str">
        <f t="shared" si="1"/>
        <v/>
      </c>
      <c r="M41" s="43"/>
      <c r="N41" s="43"/>
    </row>
    <row r="42" spans="2:14" ht="26.4" x14ac:dyDescent="0.25">
      <c r="B42" s="53" t="s">
        <v>734</v>
      </c>
      <c r="C42" s="15" t="s">
        <v>1554</v>
      </c>
      <c r="D42" s="23" t="s">
        <v>1602</v>
      </c>
      <c r="E42" s="23" t="s">
        <v>600</v>
      </c>
      <c r="F42" s="16">
        <v>6175</v>
      </c>
      <c r="G42" s="213">
        <v>47</v>
      </c>
      <c r="H42" s="18">
        <f t="shared" si="0"/>
        <v>290225</v>
      </c>
      <c r="I42" s="19"/>
      <c r="K42" s="43">
        <f>_Geofabric</f>
        <v>5.3</v>
      </c>
      <c r="L42" s="48">
        <f t="shared" si="1"/>
        <v>32727.5</v>
      </c>
      <c r="M42" s="43"/>
      <c r="N42" s="43"/>
    </row>
    <row r="43" spans="2:14" x14ac:dyDescent="0.25">
      <c r="B43" s="53"/>
      <c r="C43" s="15"/>
      <c r="D43" s="15"/>
      <c r="E43" s="23"/>
      <c r="F43" s="16"/>
      <c r="G43" s="213" t="s">
        <v>1556</v>
      </c>
      <c r="H43" s="18" t="str">
        <f t="shared" si="0"/>
        <v/>
      </c>
      <c r="I43" s="19"/>
      <c r="K43" s="43"/>
      <c r="L43" s="48" t="str">
        <f t="shared" si="1"/>
        <v/>
      </c>
      <c r="M43" s="43"/>
      <c r="N43" s="43"/>
    </row>
    <row r="44" spans="2:14" x14ac:dyDescent="0.25">
      <c r="B44" s="53"/>
      <c r="C44" s="15"/>
      <c r="D44" s="15"/>
      <c r="E44" s="23"/>
      <c r="F44" s="16"/>
      <c r="G44" s="213" t="s">
        <v>1556</v>
      </c>
      <c r="H44" s="18" t="str">
        <f t="shared" si="0"/>
        <v/>
      </c>
      <c r="I44" s="19"/>
      <c r="K44" s="43"/>
      <c r="L44" s="48" t="str">
        <f t="shared" si="1"/>
        <v/>
      </c>
      <c r="M44" s="43"/>
      <c r="N44" s="43"/>
    </row>
    <row r="45" spans="2:14" ht="26.4" x14ac:dyDescent="0.25">
      <c r="B45" s="53" t="s">
        <v>1171</v>
      </c>
      <c r="C45" s="15" t="s">
        <v>413</v>
      </c>
      <c r="D45" s="15"/>
      <c r="E45" s="23"/>
      <c r="F45" s="16"/>
      <c r="G45" s="213" t="s">
        <v>1556</v>
      </c>
      <c r="H45" s="18" t="str">
        <f t="shared" si="0"/>
        <v/>
      </c>
      <c r="I45" s="19"/>
      <c r="K45" s="43"/>
      <c r="L45" s="48" t="str">
        <f t="shared" si="1"/>
        <v/>
      </c>
      <c r="M45" s="43"/>
      <c r="N45" s="43"/>
    </row>
    <row r="46" spans="2:14" x14ac:dyDescent="0.25">
      <c r="B46" s="53"/>
      <c r="C46" s="15"/>
      <c r="D46" s="15"/>
      <c r="E46" s="23"/>
      <c r="F46" s="16"/>
      <c r="G46" s="213" t="s">
        <v>1556</v>
      </c>
      <c r="H46" s="18" t="str">
        <f t="shared" si="0"/>
        <v/>
      </c>
      <c r="I46" s="19"/>
      <c r="K46" s="43"/>
      <c r="L46" s="48" t="str">
        <f t="shared" si="1"/>
        <v/>
      </c>
      <c r="M46" s="43"/>
      <c r="N46" s="43"/>
    </row>
    <row r="47" spans="2:14" ht="15.6" x14ac:dyDescent="0.25">
      <c r="B47" s="53"/>
      <c r="C47" s="15" t="s">
        <v>412</v>
      </c>
      <c r="D47" s="23" t="s">
        <v>1602</v>
      </c>
      <c r="E47" s="23" t="s">
        <v>34</v>
      </c>
      <c r="F47" s="16">
        <v>353</v>
      </c>
      <c r="G47" s="213">
        <v>65</v>
      </c>
      <c r="H47" s="18">
        <f t="shared" si="0"/>
        <v>22945</v>
      </c>
      <c r="I47" s="19"/>
      <c r="K47" s="1">
        <f>_Backfill</f>
        <v>45</v>
      </c>
      <c r="L47" s="48">
        <f t="shared" si="1"/>
        <v>15885</v>
      </c>
    </row>
    <row r="48" spans="2:14" x14ac:dyDescent="0.25">
      <c r="B48" s="53"/>
      <c r="C48" s="15"/>
      <c r="D48" s="15"/>
      <c r="E48" s="23"/>
      <c r="F48" s="16"/>
      <c r="G48" s="213" t="s">
        <v>1556</v>
      </c>
      <c r="H48" s="18" t="str">
        <f t="shared" si="0"/>
        <v/>
      </c>
      <c r="I48" s="19"/>
      <c r="L48" s="48" t="str">
        <f t="shared" si="1"/>
        <v/>
      </c>
    </row>
    <row r="49" spans="2:12" ht="26.4" x14ac:dyDescent="0.25">
      <c r="B49" s="53" t="s">
        <v>1172</v>
      </c>
      <c r="C49" s="15" t="s">
        <v>417</v>
      </c>
      <c r="D49" s="15"/>
      <c r="E49" s="23"/>
      <c r="F49" s="16"/>
      <c r="G49" s="213" t="s">
        <v>1556</v>
      </c>
      <c r="H49" s="18" t="str">
        <f t="shared" si="0"/>
        <v/>
      </c>
      <c r="I49" s="19"/>
      <c r="L49" s="48" t="str">
        <f t="shared" si="1"/>
        <v/>
      </c>
    </row>
    <row r="50" spans="2:12" ht="15.6" x14ac:dyDescent="0.25">
      <c r="B50" s="53"/>
      <c r="C50" s="15" t="s">
        <v>1173</v>
      </c>
      <c r="D50" s="15"/>
      <c r="E50" s="23" t="s">
        <v>34</v>
      </c>
      <c r="F50" s="16">
        <v>20</v>
      </c>
      <c r="G50" s="213">
        <v>2625</v>
      </c>
      <c r="H50" s="18">
        <f t="shared" si="0"/>
        <v>52500</v>
      </c>
      <c r="I50" s="19"/>
      <c r="K50" s="1">
        <f>_Place</f>
        <v>348</v>
      </c>
      <c r="L50" s="48">
        <f t="shared" si="1"/>
        <v>6960</v>
      </c>
    </row>
    <row r="51" spans="2:12" x14ac:dyDescent="0.25">
      <c r="B51" s="53"/>
      <c r="C51" s="15"/>
      <c r="D51" s="15"/>
      <c r="E51" s="23"/>
      <c r="F51" s="16"/>
      <c r="G51" s="213"/>
      <c r="H51" s="18" t="str">
        <f t="shared" si="0"/>
        <v/>
      </c>
      <c r="I51" s="19"/>
    </row>
    <row r="52" spans="2:12" x14ac:dyDescent="0.25">
      <c r="B52" s="53"/>
      <c r="C52" s="15"/>
      <c r="D52" s="15"/>
      <c r="E52" s="23"/>
      <c r="F52" s="16"/>
      <c r="G52" s="75"/>
      <c r="H52" s="18" t="str">
        <f>IF(E52="","",F52*G52)</f>
        <v/>
      </c>
      <c r="I52" s="19"/>
    </row>
    <row r="53" spans="2:12" x14ac:dyDescent="0.25">
      <c r="B53" s="53"/>
      <c r="C53" s="15"/>
      <c r="D53" s="15"/>
      <c r="E53" s="23"/>
      <c r="F53" s="16"/>
      <c r="G53" s="75"/>
      <c r="H53" s="18" t="str">
        <f>IF(E53="","",F53*G53)</f>
        <v/>
      </c>
      <c r="I53" s="19"/>
    </row>
    <row r="54" spans="2:12" x14ac:dyDescent="0.25">
      <c r="B54" s="53"/>
      <c r="C54" s="15"/>
      <c r="D54" s="15"/>
      <c r="E54" s="23"/>
      <c r="F54" s="16"/>
      <c r="G54" s="75"/>
      <c r="H54" s="18" t="str">
        <f>IF(E54="","",F54*G54)</f>
        <v/>
      </c>
      <c r="I54" s="19"/>
    </row>
    <row r="55" spans="2:12" x14ac:dyDescent="0.25">
      <c r="B55" s="53"/>
      <c r="C55" s="15"/>
      <c r="D55" s="15"/>
      <c r="E55" s="23"/>
      <c r="F55" s="16"/>
      <c r="G55" s="75"/>
      <c r="H55" s="18" t="str">
        <f>IF(E55="","",F55*G55)</f>
        <v/>
      </c>
      <c r="I55" s="19"/>
    </row>
    <row r="56" spans="2:12" x14ac:dyDescent="0.25">
      <c r="B56" s="53"/>
      <c r="C56" s="15"/>
      <c r="D56" s="15"/>
      <c r="E56" s="23"/>
      <c r="F56" s="16"/>
      <c r="G56" s="75"/>
      <c r="H56" s="18" t="str">
        <f>IF(E56="","",F56*G56)</f>
        <v/>
      </c>
      <c r="I56" s="19"/>
    </row>
    <row r="57" spans="2:12" x14ac:dyDescent="0.25">
      <c r="B57" s="53"/>
      <c r="C57" s="15"/>
      <c r="D57" s="15"/>
      <c r="E57" s="23"/>
      <c r="F57" s="16"/>
      <c r="G57" s="75"/>
      <c r="H57" s="18"/>
      <c r="I57" s="19"/>
    </row>
    <row r="58" spans="2:12" x14ac:dyDescent="0.25">
      <c r="B58" s="66"/>
      <c r="C58" s="15"/>
      <c r="D58" s="15"/>
      <c r="E58" s="16"/>
      <c r="F58" s="16"/>
      <c r="G58" s="72"/>
      <c r="H58" s="18"/>
      <c r="I58" s="19"/>
    </row>
    <row r="59" spans="2:12" x14ac:dyDescent="0.25">
      <c r="B59" s="66"/>
      <c r="C59" s="15"/>
      <c r="D59" s="15"/>
      <c r="E59" s="16"/>
      <c r="F59" s="16"/>
      <c r="G59" s="72"/>
      <c r="H59" s="18"/>
      <c r="I59" s="19"/>
    </row>
    <row r="60" spans="2:12" s="31" customFormat="1" ht="24.75" customHeight="1" x14ac:dyDescent="0.25">
      <c r="B60" s="90" t="str">
        <f>$B$11</f>
        <v>C11.2</v>
      </c>
      <c r="C60" s="33" t="s">
        <v>957</v>
      </c>
      <c r="D60" s="33"/>
      <c r="E60" s="34"/>
      <c r="F60" s="35"/>
      <c r="G60" s="34"/>
      <c r="H60" s="36">
        <f>SUM(H10:H59)</f>
        <v>4598546</v>
      </c>
      <c r="I60" s="37"/>
      <c r="L60" s="36">
        <f>SUM(L10:L59)</f>
        <v>1015725.7</v>
      </c>
    </row>
  </sheetData>
  <mergeCells count="4">
    <mergeCell ref="F2:H2"/>
    <mergeCell ref="H5:H8"/>
    <mergeCell ref="B5:G5"/>
    <mergeCell ref="B6:G8"/>
  </mergeCells>
  <printOptions horizontalCentered="1"/>
  <pageMargins left="0.43307086614173229" right="0.31496062992125984" top="0.43307086614173229" bottom="0.62992125984251968" header="0.35433070866141736" footer="0.31496062992125984"/>
  <pageSetup paperSize="9" scale="79"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BBD44-F7BE-429D-BF9B-1CE9F724029C}">
  <sheetPr codeName="Sheet84">
    <tabColor rgb="FF92D050"/>
  </sheetPr>
  <dimension ref="A1:Q85"/>
  <sheetViews>
    <sheetView view="pageBreakPreview" zoomScaleNormal="125" zoomScaleSheetLayoutView="100" zoomScalePageLayoutView="125" workbookViewId="0">
      <pane xSplit="5" ySplit="2" topLeftCell="F30" activePane="bottomRight" state="frozen"/>
      <selection activeCell="L25" sqref="L25"/>
      <selection pane="topRight" activeCell="L25" sqref="L25"/>
      <selection pane="bottomLeft" activeCell="L25" sqref="L25"/>
      <selection pane="bottomRight" activeCell="L25" sqref="L25"/>
    </sheetView>
  </sheetViews>
  <sheetFormatPr defaultColWidth="8.6640625" defaultRowHeight="13.2" x14ac:dyDescent="0.25"/>
  <cols>
    <col min="1" max="1" width="0.6640625" style="1" customWidth="1"/>
    <col min="2" max="2" width="11.5546875" style="38" customWidth="1"/>
    <col min="3" max="3" width="45.5546875" style="3" customWidth="1"/>
    <col min="4" max="4" width="5.3320312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1" width="8.6640625" style="1"/>
    <col min="12" max="12" width="11.6640625" style="1" bestFit="1" customWidth="1"/>
    <col min="13" max="16384" width="8.6640625" style="1"/>
  </cols>
  <sheetData>
    <row r="1" spans="2:14" x14ac:dyDescent="0.25">
      <c r="H1" s="234">
        <f>MAX(H9:H498)</f>
        <v>1418450</v>
      </c>
    </row>
    <row r="2" spans="2:14" x14ac:dyDescent="0.25">
      <c r="B2" s="2" t="str">
        <f>Client1</f>
        <v>Province of KwaZulu-Natal</v>
      </c>
      <c r="F2" s="510" t="str">
        <f>"Contract No. "&amp;ContractNo</f>
        <v>Contract No. ZNB02215/00000/00/HOD/INF/23/T</v>
      </c>
      <c r="G2" s="510"/>
      <c r="H2" s="510"/>
      <c r="K2" s="402"/>
      <c r="L2" s="402">
        <f>MAX(L3:L243)</f>
        <v>152428.5</v>
      </c>
      <c r="M2" s="402"/>
      <c r="N2" s="403"/>
    </row>
    <row r="3" spans="2:14" x14ac:dyDescent="0.25">
      <c r="B3" s="96" t="str">
        <f>Client2</f>
        <v>Department of Transport</v>
      </c>
      <c r="K3" s="1" t="s">
        <v>1421</v>
      </c>
      <c r="L3" s="1" t="s">
        <v>1422</v>
      </c>
      <c r="M3" s="1" t="s">
        <v>1423</v>
      </c>
      <c r="N3" s="1" t="s">
        <v>1424</v>
      </c>
    </row>
    <row r="4" spans="2:14" x14ac:dyDescent="0.25">
      <c r="B4" s="3"/>
      <c r="K4" s="86"/>
      <c r="L4" s="86"/>
      <c r="M4" s="86"/>
      <c r="N4" s="86"/>
    </row>
    <row r="5" spans="2:14" ht="12.75" customHeight="1" x14ac:dyDescent="0.25">
      <c r="B5" s="507" t="s">
        <v>8</v>
      </c>
      <c r="C5" s="508"/>
      <c r="D5" s="508"/>
      <c r="E5" s="508"/>
      <c r="F5" s="508"/>
      <c r="G5" s="508"/>
      <c r="H5" s="512" t="str">
        <f>"CHAPTER "&amp;B11</f>
        <v>CHAPTER C11.4</v>
      </c>
      <c r="I5" s="6"/>
    </row>
    <row r="6" spans="2:14" ht="7.5" customHeight="1" x14ac:dyDescent="0.25">
      <c r="B6" s="613" t="str">
        <f>ContractDescription</f>
        <v>UPGRADING OF MAIN ROAD P8/3 FROM GRAVEL TO BLACKTOP BETWEEN KM 17.560 AND KM 24.221 IN THE PIETERMARITZBURG REGION</v>
      </c>
      <c r="C6" s="614"/>
      <c r="D6" s="614"/>
      <c r="E6" s="614"/>
      <c r="F6" s="614"/>
      <c r="G6" s="614"/>
      <c r="H6" s="513"/>
      <c r="I6" s="9"/>
    </row>
    <row r="7" spans="2:14" ht="12.75" customHeight="1" x14ac:dyDescent="0.25">
      <c r="B7" s="613"/>
      <c r="C7" s="614"/>
      <c r="D7" s="614"/>
      <c r="E7" s="614"/>
      <c r="F7" s="614"/>
      <c r="G7" s="614"/>
      <c r="H7" s="513"/>
      <c r="I7" s="9"/>
    </row>
    <row r="8" spans="2:14" s="10" customFormat="1" ht="7.5" customHeight="1" x14ac:dyDescent="0.25">
      <c r="B8" s="615"/>
      <c r="C8" s="616"/>
      <c r="D8" s="616"/>
      <c r="E8" s="616"/>
      <c r="F8" s="616"/>
      <c r="G8" s="616"/>
      <c r="H8" s="514"/>
      <c r="I8" s="13"/>
      <c r="K8" s="1"/>
      <c r="L8" s="1"/>
      <c r="M8" s="1"/>
      <c r="N8" s="1"/>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53"/>
      <c r="C10" s="15"/>
      <c r="D10" s="15"/>
      <c r="E10" s="16"/>
      <c r="F10" s="16"/>
      <c r="G10" s="17"/>
      <c r="H10" s="26" t="str">
        <f>IF(E10="","",F10*G10)</f>
        <v/>
      </c>
      <c r="I10" s="19"/>
      <c r="K10" s="17"/>
      <c r="L10" s="17"/>
      <c r="M10" s="17"/>
      <c r="N10" s="17"/>
    </row>
    <row r="11" spans="2:14" x14ac:dyDescent="0.25">
      <c r="B11" s="80" t="s">
        <v>982</v>
      </c>
      <c r="C11" s="21" t="s">
        <v>981</v>
      </c>
      <c r="D11" s="21"/>
      <c r="E11" s="16"/>
      <c r="F11" s="16"/>
      <c r="G11" s="17"/>
      <c r="H11" s="26"/>
      <c r="I11" s="19"/>
      <c r="K11" s="43"/>
      <c r="L11" s="43"/>
      <c r="M11" s="43"/>
      <c r="N11" s="43"/>
    </row>
    <row r="12" spans="2:14" x14ac:dyDescent="0.25">
      <c r="B12" s="53"/>
      <c r="C12" s="15"/>
      <c r="D12" s="15"/>
      <c r="E12" s="16"/>
      <c r="F12" s="16"/>
      <c r="G12" s="17"/>
      <c r="H12" s="26"/>
      <c r="I12" s="19"/>
      <c r="K12" s="43"/>
      <c r="L12" s="43"/>
      <c r="M12" s="43"/>
      <c r="N12" s="43"/>
    </row>
    <row r="13" spans="2:14" x14ac:dyDescent="0.25">
      <c r="B13" s="53" t="s">
        <v>778</v>
      </c>
      <c r="C13" s="15" t="s">
        <v>777</v>
      </c>
      <c r="D13" s="15"/>
      <c r="E13" s="16"/>
      <c r="F13" s="16"/>
      <c r="G13" s="17"/>
      <c r="H13" s="26" t="str">
        <f t="shared" ref="H13:H19" si="0">IF(E13="","",F13*G13)</f>
        <v/>
      </c>
      <c r="I13" s="19"/>
      <c r="K13" s="25"/>
      <c r="L13" s="48" t="str">
        <f t="shared" ref="L13:L48" si="1">IF(K13="","",K13*F13)</f>
        <v/>
      </c>
      <c r="M13" s="25"/>
      <c r="N13" s="25"/>
    </row>
    <row r="14" spans="2:14" x14ac:dyDescent="0.25">
      <c r="B14" s="53"/>
      <c r="C14" s="15"/>
      <c r="D14" s="15"/>
      <c r="E14" s="16"/>
      <c r="F14" s="16"/>
      <c r="G14" s="17"/>
      <c r="H14" s="26" t="str">
        <f t="shared" si="0"/>
        <v/>
      </c>
      <c r="I14" s="19"/>
      <c r="K14" s="43"/>
      <c r="L14" s="48" t="str">
        <f t="shared" si="1"/>
        <v/>
      </c>
      <c r="M14" s="43"/>
      <c r="N14" s="43"/>
    </row>
    <row r="15" spans="2:14" ht="18" customHeight="1" x14ac:dyDescent="0.25">
      <c r="B15" s="66" t="s">
        <v>755</v>
      </c>
      <c r="C15" s="55" t="s">
        <v>776</v>
      </c>
      <c r="D15" s="55"/>
      <c r="E15" s="16"/>
      <c r="F15" s="16"/>
      <c r="G15" s="17"/>
      <c r="H15" s="26" t="str">
        <f t="shared" si="0"/>
        <v/>
      </c>
      <c r="I15" s="19"/>
      <c r="K15" s="43"/>
      <c r="L15" s="48" t="str">
        <f t="shared" si="1"/>
        <v/>
      </c>
      <c r="M15" s="43"/>
      <c r="N15" s="43"/>
    </row>
    <row r="16" spans="2:14" x14ac:dyDescent="0.25">
      <c r="B16" s="66"/>
      <c r="C16" s="15"/>
      <c r="D16" s="15"/>
      <c r="E16" s="16"/>
      <c r="F16" s="16"/>
      <c r="G16" s="17"/>
      <c r="H16" s="26" t="str">
        <f t="shared" si="0"/>
        <v/>
      </c>
      <c r="I16" s="19"/>
      <c r="K16" s="43"/>
      <c r="L16" s="48" t="str">
        <f t="shared" si="1"/>
        <v/>
      </c>
      <c r="M16" s="43"/>
      <c r="N16" s="43"/>
    </row>
    <row r="17" spans="2:17" x14ac:dyDescent="0.25">
      <c r="B17" s="53" t="s">
        <v>49</v>
      </c>
      <c r="C17" s="15" t="s">
        <v>1138</v>
      </c>
      <c r="D17" s="23" t="s">
        <v>1602</v>
      </c>
      <c r="E17" s="23" t="s">
        <v>6</v>
      </c>
      <c r="F17" s="24">
        <v>1420</v>
      </c>
      <c r="G17" s="25">
        <v>630</v>
      </c>
      <c r="H17" s="26">
        <f t="shared" si="0"/>
        <v>894600</v>
      </c>
      <c r="I17" s="65"/>
      <c r="K17" s="460">
        <v>45.6</v>
      </c>
      <c r="L17" s="48">
        <f t="shared" si="1"/>
        <v>64752</v>
      </c>
      <c r="M17" s="43"/>
      <c r="N17" s="43"/>
    </row>
    <row r="18" spans="2:17" x14ac:dyDescent="0.25">
      <c r="B18" s="66"/>
      <c r="C18" s="28"/>
      <c r="D18" s="146"/>
      <c r="E18" s="69"/>
      <c r="F18" s="27"/>
      <c r="G18" s="70" t="s">
        <v>1556</v>
      </c>
      <c r="H18" s="26" t="str">
        <f t="shared" si="0"/>
        <v/>
      </c>
      <c r="I18" s="71"/>
      <c r="K18" s="43"/>
      <c r="L18" s="48" t="str">
        <f t="shared" si="1"/>
        <v/>
      </c>
      <c r="M18" s="43"/>
      <c r="N18" s="43"/>
      <c r="Q18" s="1">
        <f>1420/3.8</f>
        <v>373.68421052631578</v>
      </c>
    </row>
    <row r="19" spans="2:17" ht="39.6" x14ac:dyDescent="0.25">
      <c r="B19" s="53" t="s">
        <v>53</v>
      </c>
      <c r="C19" s="15" t="s">
        <v>775</v>
      </c>
      <c r="D19" s="23" t="s">
        <v>1602</v>
      </c>
      <c r="E19" s="23" t="s">
        <v>6</v>
      </c>
      <c r="F19" s="27">
        <v>1420</v>
      </c>
      <c r="G19" s="72">
        <v>105</v>
      </c>
      <c r="H19" s="26">
        <f t="shared" si="0"/>
        <v>149100</v>
      </c>
      <c r="I19" s="71"/>
      <c r="K19" s="459">
        <f>G19*20%</f>
        <v>21</v>
      </c>
      <c r="L19" s="48">
        <f t="shared" si="1"/>
        <v>29820</v>
      </c>
      <c r="M19" s="43"/>
      <c r="N19" s="43"/>
    </row>
    <row r="20" spans="2:17" x14ac:dyDescent="0.25">
      <c r="B20" s="53"/>
      <c r="C20" s="29"/>
      <c r="D20" s="147"/>
      <c r="E20" s="23"/>
      <c r="F20" s="27"/>
      <c r="G20" s="72" t="s">
        <v>1556</v>
      </c>
      <c r="H20" s="26"/>
      <c r="I20" s="71"/>
      <c r="K20" s="43"/>
      <c r="L20" s="48" t="str">
        <f t="shared" si="1"/>
        <v/>
      </c>
      <c r="M20" s="43"/>
      <c r="N20" s="43"/>
    </row>
    <row r="21" spans="2:17" x14ac:dyDescent="0.25">
      <c r="B21" s="53" t="s">
        <v>774</v>
      </c>
      <c r="C21" s="28" t="s">
        <v>773</v>
      </c>
      <c r="D21" s="146"/>
      <c r="E21" s="23"/>
      <c r="F21" s="27"/>
      <c r="G21" s="72" t="s">
        <v>1556</v>
      </c>
      <c r="H21" s="26"/>
      <c r="I21" s="71"/>
      <c r="K21" s="43"/>
      <c r="L21" s="48" t="str">
        <f t="shared" si="1"/>
        <v/>
      </c>
      <c r="M21" s="43"/>
      <c r="N21" s="43"/>
    </row>
    <row r="22" spans="2:17" x14ac:dyDescent="0.25">
      <c r="B22" s="66"/>
      <c r="C22" s="28"/>
      <c r="D22" s="146"/>
      <c r="E22" s="69"/>
      <c r="F22" s="27"/>
      <c r="G22" s="72" t="s">
        <v>1556</v>
      </c>
      <c r="H22" s="26" t="str">
        <f t="shared" ref="H22:H33" si="2">IF(E22="","",F22*G22)</f>
        <v/>
      </c>
      <c r="I22" s="71"/>
      <c r="K22" s="43"/>
      <c r="L22" s="48" t="str">
        <f t="shared" si="1"/>
        <v/>
      </c>
      <c r="M22" s="43"/>
      <c r="N22" s="43"/>
    </row>
    <row r="23" spans="2:17" x14ac:dyDescent="0.25">
      <c r="B23" s="53" t="s">
        <v>49</v>
      </c>
      <c r="C23" s="15" t="s">
        <v>772</v>
      </c>
      <c r="D23" s="15"/>
      <c r="E23" s="23" t="s">
        <v>44</v>
      </c>
      <c r="F23" s="27">
        <v>10</v>
      </c>
      <c r="G23" s="72">
        <v>788</v>
      </c>
      <c r="H23" s="26">
        <f t="shared" si="2"/>
        <v>7880</v>
      </c>
      <c r="I23" s="71"/>
      <c r="K23" s="459">
        <f>G23*10%</f>
        <v>78.800000000000011</v>
      </c>
      <c r="L23" s="48">
        <f t="shared" si="1"/>
        <v>788.00000000000011</v>
      </c>
      <c r="M23" s="43"/>
      <c r="N23" s="43"/>
    </row>
    <row r="24" spans="2:17" x14ac:dyDescent="0.25">
      <c r="B24" s="66"/>
      <c r="C24" s="15"/>
      <c r="D24" s="15"/>
      <c r="E24" s="16"/>
      <c r="F24" s="27"/>
      <c r="G24" s="72" t="s">
        <v>1556</v>
      </c>
      <c r="H24" s="26" t="str">
        <f t="shared" si="2"/>
        <v/>
      </c>
      <c r="I24" s="19"/>
      <c r="K24" s="43"/>
      <c r="L24" s="48" t="str">
        <f t="shared" si="1"/>
        <v/>
      </c>
      <c r="M24" s="43"/>
      <c r="N24" s="43"/>
    </row>
    <row r="25" spans="2:17" ht="26.4" x14ac:dyDescent="0.25">
      <c r="B25" s="53" t="s">
        <v>53</v>
      </c>
      <c r="C25" s="15" t="s">
        <v>1139</v>
      </c>
      <c r="D25" s="15"/>
      <c r="E25" s="23" t="s">
        <v>44</v>
      </c>
      <c r="F25" s="27">
        <v>15</v>
      </c>
      <c r="G25" s="72">
        <v>6090</v>
      </c>
      <c r="H25" s="26">
        <f t="shared" si="2"/>
        <v>91350</v>
      </c>
      <c r="I25" s="19"/>
      <c r="K25" s="459">
        <f>G25*10%</f>
        <v>609</v>
      </c>
      <c r="L25" s="48">
        <f t="shared" si="1"/>
        <v>9135</v>
      </c>
      <c r="M25" s="43"/>
      <c r="N25" s="43"/>
    </row>
    <row r="26" spans="2:17" x14ac:dyDescent="0.25">
      <c r="B26" s="66"/>
      <c r="C26" s="15"/>
      <c r="D26" s="15"/>
      <c r="E26" s="16"/>
      <c r="F26" s="27"/>
      <c r="G26" s="72" t="s">
        <v>1556</v>
      </c>
      <c r="H26" s="26" t="str">
        <f t="shared" si="2"/>
        <v/>
      </c>
      <c r="I26" s="19"/>
      <c r="K26" s="43"/>
      <c r="L26" s="48" t="str">
        <f t="shared" si="1"/>
        <v/>
      </c>
      <c r="M26" s="43"/>
      <c r="N26" s="43"/>
    </row>
    <row r="27" spans="2:17" ht="26.4" x14ac:dyDescent="0.25">
      <c r="B27" s="53" t="s">
        <v>54</v>
      </c>
      <c r="C27" s="15" t="s">
        <v>1140</v>
      </c>
      <c r="D27" s="15"/>
      <c r="E27" s="23" t="s">
        <v>44</v>
      </c>
      <c r="F27" s="27">
        <v>15</v>
      </c>
      <c r="G27" s="72">
        <v>10500</v>
      </c>
      <c r="H27" s="26">
        <f t="shared" si="2"/>
        <v>157500</v>
      </c>
      <c r="I27" s="19"/>
      <c r="K27" s="459">
        <f>G27*10%</f>
        <v>1050</v>
      </c>
      <c r="L27" s="48">
        <f t="shared" si="1"/>
        <v>15750</v>
      </c>
      <c r="M27" s="43"/>
      <c r="N27" s="43"/>
    </row>
    <row r="28" spans="2:17" x14ac:dyDescent="0.25">
      <c r="B28" s="66"/>
      <c r="C28" s="15"/>
      <c r="D28" s="15"/>
      <c r="E28" s="16"/>
      <c r="F28" s="27"/>
      <c r="G28" s="30" t="s">
        <v>1556</v>
      </c>
      <c r="H28" s="26" t="str">
        <f t="shared" si="2"/>
        <v/>
      </c>
      <c r="I28" s="19"/>
      <c r="K28" s="43"/>
      <c r="L28" s="48" t="str">
        <f t="shared" si="1"/>
        <v/>
      </c>
      <c r="M28" s="43"/>
      <c r="N28" s="43"/>
    </row>
    <row r="29" spans="2:17" ht="39.6" x14ac:dyDescent="0.25">
      <c r="B29" s="53" t="s">
        <v>342</v>
      </c>
      <c r="C29" s="15" t="s">
        <v>771</v>
      </c>
      <c r="D29" s="15"/>
      <c r="E29" s="23" t="s">
        <v>44</v>
      </c>
      <c r="F29" s="27">
        <v>30</v>
      </c>
      <c r="G29" s="72">
        <v>2100</v>
      </c>
      <c r="H29" s="26">
        <f t="shared" si="2"/>
        <v>63000</v>
      </c>
      <c r="I29" s="19"/>
      <c r="K29" s="460">
        <f>G29*10%</f>
        <v>210</v>
      </c>
      <c r="L29" s="48">
        <f t="shared" si="1"/>
        <v>6300</v>
      </c>
      <c r="M29" s="43"/>
      <c r="N29" s="43"/>
    </row>
    <row r="30" spans="2:17" x14ac:dyDescent="0.25">
      <c r="B30" s="66"/>
      <c r="C30" s="89"/>
      <c r="D30" s="89"/>
      <c r="E30" s="16"/>
      <c r="F30" s="16"/>
      <c r="G30" s="72" t="s">
        <v>1556</v>
      </c>
      <c r="H30" s="26" t="str">
        <f t="shared" si="2"/>
        <v/>
      </c>
      <c r="I30" s="19"/>
      <c r="K30" s="43"/>
      <c r="L30" s="48" t="str">
        <f t="shared" si="1"/>
        <v/>
      </c>
      <c r="M30" s="43"/>
      <c r="N30" s="43"/>
    </row>
    <row r="31" spans="2:17" x14ac:dyDescent="0.25">
      <c r="B31" s="53" t="s">
        <v>770</v>
      </c>
      <c r="C31" s="15" t="s">
        <v>769</v>
      </c>
      <c r="D31" s="15"/>
      <c r="E31" s="23"/>
      <c r="F31" s="27"/>
      <c r="G31" s="72" t="s">
        <v>1556</v>
      </c>
      <c r="H31" s="26" t="str">
        <f t="shared" si="2"/>
        <v/>
      </c>
      <c r="I31" s="19"/>
      <c r="K31" s="43"/>
      <c r="L31" s="48" t="str">
        <f t="shared" si="1"/>
        <v/>
      </c>
      <c r="M31" s="43"/>
      <c r="N31" s="43"/>
    </row>
    <row r="32" spans="2:17" x14ac:dyDescent="0.25">
      <c r="B32" s="53"/>
      <c r="C32" s="29"/>
      <c r="D32" s="147"/>
      <c r="E32" s="23"/>
      <c r="F32" s="27"/>
      <c r="G32" s="72" t="s">
        <v>1556</v>
      </c>
      <c r="H32" s="26"/>
      <c r="I32" s="19"/>
      <c r="K32" s="43"/>
      <c r="L32" s="48" t="str">
        <f t="shared" si="1"/>
        <v/>
      </c>
      <c r="M32" s="43"/>
      <c r="N32" s="43"/>
    </row>
    <row r="33" spans="2:14" ht="39.6" x14ac:dyDescent="0.25">
      <c r="B33" s="53" t="s">
        <v>768</v>
      </c>
      <c r="C33" s="29" t="s">
        <v>767</v>
      </c>
      <c r="D33" s="147"/>
      <c r="E33" s="23" t="s">
        <v>6</v>
      </c>
      <c r="F33" s="27">
        <v>25</v>
      </c>
      <c r="G33" s="72">
        <v>263</v>
      </c>
      <c r="H33" s="26">
        <f t="shared" si="2"/>
        <v>6575</v>
      </c>
      <c r="I33" s="19"/>
      <c r="K33" s="43">
        <v>45.6</v>
      </c>
      <c r="L33" s="48">
        <f t="shared" si="1"/>
        <v>1140</v>
      </c>
      <c r="M33" s="43"/>
      <c r="N33" s="43"/>
    </row>
    <row r="34" spans="2:14" x14ac:dyDescent="0.25">
      <c r="B34" s="66"/>
      <c r="C34" s="28"/>
      <c r="D34" s="146"/>
      <c r="E34" s="69"/>
      <c r="F34" s="27"/>
      <c r="G34" s="72" t="s">
        <v>1556</v>
      </c>
      <c r="H34" s="26" t="str">
        <f t="shared" ref="H34:H43" si="3">IF(E34="","",F34*G34)</f>
        <v/>
      </c>
      <c r="I34" s="19"/>
      <c r="K34" s="43"/>
      <c r="L34" s="48" t="str">
        <f t="shared" si="1"/>
        <v/>
      </c>
      <c r="M34" s="43"/>
      <c r="N34" s="43"/>
    </row>
    <row r="35" spans="2:14" ht="26.4" x14ac:dyDescent="0.25">
      <c r="B35" s="53" t="s">
        <v>766</v>
      </c>
      <c r="C35" s="15" t="s">
        <v>765</v>
      </c>
      <c r="D35" s="15"/>
      <c r="E35" s="23" t="s">
        <v>6</v>
      </c>
      <c r="F35" s="27">
        <v>25</v>
      </c>
      <c r="G35" s="72">
        <v>263</v>
      </c>
      <c r="H35" s="26">
        <f t="shared" si="3"/>
        <v>6575</v>
      </c>
      <c r="I35" s="19"/>
      <c r="K35" s="43">
        <v>45.6</v>
      </c>
      <c r="L35" s="48">
        <f t="shared" si="1"/>
        <v>1140</v>
      </c>
      <c r="M35" s="43"/>
      <c r="N35" s="43"/>
    </row>
    <row r="36" spans="2:14" x14ac:dyDescent="0.25">
      <c r="B36" s="66"/>
      <c r="C36" s="15"/>
      <c r="D36" s="15"/>
      <c r="E36" s="16"/>
      <c r="F36" s="27"/>
      <c r="G36" s="72" t="s">
        <v>1556</v>
      </c>
      <c r="H36" s="26" t="str">
        <f t="shared" si="3"/>
        <v/>
      </c>
      <c r="I36" s="19"/>
      <c r="K36" s="43"/>
      <c r="L36" s="48" t="str">
        <f t="shared" si="1"/>
        <v/>
      </c>
      <c r="M36" s="43"/>
      <c r="N36" s="43"/>
    </row>
    <row r="37" spans="2:14" x14ac:dyDescent="0.25">
      <c r="B37" s="53" t="s">
        <v>764</v>
      </c>
      <c r="C37" s="29" t="s">
        <v>763</v>
      </c>
      <c r="D37" s="147"/>
      <c r="E37" s="23"/>
      <c r="F37" s="27"/>
      <c r="G37" s="72" t="s">
        <v>1556</v>
      </c>
      <c r="H37" s="26" t="str">
        <f t="shared" si="3"/>
        <v/>
      </c>
      <c r="I37" s="19"/>
      <c r="K37" s="43"/>
      <c r="L37" s="48" t="str">
        <f t="shared" si="1"/>
        <v/>
      </c>
      <c r="M37" s="43"/>
      <c r="N37" s="43"/>
    </row>
    <row r="38" spans="2:14" x14ac:dyDescent="0.25">
      <c r="B38" s="66"/>
      <c r="C38" s="15"/>
      <c r="D38" s="15"/>
      <c r="E38" s="16"/>
      <c r="F38" s="27"/>
      <c r="G38" s="72" t="s">
        <v>1556</v>
      </c>
      <c r="H38" s="26" t="str">
        <f t="shared" si="3"/>
        <v/>
      </c>
      <c r="I38" s="19"/>
      <c r="K38" s="43"/>
      <c r="L38" s="48" t="str">
        <f t="shared" si="1"/>
        <v/>
      </c>
      <c r="M38" s="43"/>
      <c r="N38" s="43"/>
    </row>
    <row r="39" spans="2:14" x14ac:dyDescent="0.25">
      <c r="B39" s="53" t="s">
        <v>762</v>
      </c>
      <c r="C39" s="15" t="s">
        <v>761</v>
      </c>
      <c r="D39" s="15"/>
      <c r="E39" s="23" t="s">
        <v>44</v>
      </c>
      <c r="F39" s="27">
        <v>75</v>
      </c>
      <c r="G39" s="72">
        <v>158</v>
      </c>
      <c r="H39" s="26">
        <f t="shared" si="3"/>
        <v>11850</v>
      </c>
      <c r="I39" s="19"/>
      <c r="K39" s="447">
        <v>148</v>
      </c>
      <c r="L39" s="48">
        <f t="shared" si="1"/>
        <v>11100</v>
      </c>
      <c r="M39" s="43"/>
      <c r="N39" s="43"/>
    </row>
    <row r="40" spans="2:14" x14ac:dyDescent="0.25">
      <c r="B40" s="66"/>
      <c r="C40" s="15"/>
      <c r="D40" s="15"/>
      <c r="E40" s="16"/>
      <c r="F40" s="27"/>
      <c r="G40" s="72" t="s">
        <v>1556</v>
      </c>
      <c r="H40" s="26"/>
      <c r="I40" s="19"/>
      <c r="K40" s="43"/>
      <c r="L40" s="48" t="str">
        <f t="shared" si="1"/>
        <v/>
      </c>
      <c r="M40" s="43"/>
      <c r="N40" s="43"/>
    </row>
    <row r="41" spans="2:14" x14ac:dyDescent="0.25">
      <c r="B41" s="53" t="s">
        <v>760</v>
      </c>
      <c r="C41" s="15" t="s">
        <v>754</v>
      </c>
      <c r="D41" s="15"/>
      <c r="E41" s="23"/>
      <c r="F41" s="27"/>
      <c r="G41" s="72" t="s">
        <v>1556</v>
      </c>
      <c r="H41" s="26" t="str">
        <f t="shared" si="3"/>
        <v/>
      </c>
      <c r="I41" s="19"/>
      <c r="K41" s="43"/>
      <c r="L41" s="48" t="str">
        <f t="shared" si="1"/>
        <v/>
      </c>
      <c r="M41" s="43"/>
      <c r="N41" s="43"/>
    </row>
    <row r="42" spans="2:14" x14ac:dyDescent="0.25">
      <c r="B42" s="66"/>
      <c r="C42" s="15"/>
      <c r="D42" s="15"/>
      <c r="E42" s="16"/>
      <c r="F42" s="27"/>
      <c r="G42" s="72" t="s">
        <v>1556</v>
      </c>
      <c r="H42" s="26" t="str">
        <f t="shared" si="3"/>
        <v/>
      </c>
      <c r="I42" s="19"/>
      <c r="K42" s="43"/>
      <c r="L42" s="48" t="str">
        <f t="shared" si="1"/>
        <v/>
      </c>
      <c r="M42" s="43"/>
      <c r="N42" s="43"/>
    </row>
    <row r="43" spans="2:14" x14ac:dyDescent="0.25">
      <c r="B43" s="53" t="s">
        <v>759</v>
      </c>
      <c r="C43" s="29" t="s">
        <v>758</v>
      </c>
      <c r="D43" s="147"/>
      <c r="E43" s="23" t="s">
        <v>44</v>
      </c>
      <c r="F43" s="27">
        <v>190</v>
      </c>
      <c r="G43" s="72">
        <v>158</v>
      </c>
      <c r="H43" s="26">
        <f t="shared" si="3"/>
        <v>30020</v>
      </c>
      <c r="I43" s="19"/>
      <c r="K43" s="459">
        <f>G43*5%</f>
        <v>7.9</v>
      </c>
      <c r="L43" s="48">
        <f t="shared" si="1"/>
        <v>1501</v>
      </c>
      <c r="M43" s="43"/>
      <c r="N43" s="43"/>
    </row>
    <row r="44" spans="2:14" x14ac:dyDescent="0.25">
      <c r="B44" s="66"/>
      <c r="C44" s="147"/>
      <c r="D44" s="147"/>
      <c r="E44" s="16"/>
      <c r="F44" s="16"/>
      <c r="G44" s="72" t="s">
        <v>1556</v>
      </c>
      <c r="H44" s="26"/>
      <c r="I44" s="19"/>
      <c r="K44" s="43"/>
      <c r="L44" s="48" t="str">
        <f t="shared" si="1"/>
        <v/>
      </c>
      <c r="M44" s="43"/>
      <c r="N44" s="43"/>
    </row>
    <row r="45" spans="2:14" x14ac:dyDescent="0.25">
      <c r="B45" s="53" t="s">
        <v>757</v>
      </c>
      <c r="C45" s="15" t="s">
        <v>756</v>
      </c>
      <c r="D45" s="15"/>
      <c r="E45" s="23" t="s">
        <v>6</v>
      </c>
      <c r="F45" s="69">
        <v>25</v>
      </c>
      <c r="G45" s="72">
        <v>473</v>
      </c>
      <c r="H45" s="26"/>
      <c r="I45" s="77"/>
      <c r="K45" s="1">
        <v>45.6</v>
      </c>
      <c r="L45" s="48">
        <f t="shared" si="1"/>
        <v>1140</v>
      </c>
    </row>
    <row r="46" spans="2:14" x14ac:dyDescent="0.25">
      <c r="B46" s="53"/>
      <c r="C46" s="147"/>
      <c r="D46" s="147"/>
      <c r="E46" s="23"/>
      <c r="F46" s="69"/>
      <c r="G46" s="72" t="s">
        <v>1556</v>
      </c>
      <c r="H46" s="26"/>
      <c r="I46" s="77"/>
      <c r="L46" s="48" t="str">
        <f t="shared" si="1"/>
        <v/>
      </c>
    </row>
    <row r="47" spans="2:14" ht="26.4" x14ac:dyDescent="0.25">
      <c r="B47" s="53" t="s">
        <v>753</v>
      </c>
      <c r="C47" s="15" t="s">
        <v>752</v>
      </c>
      <c r="D47" s="15"/>
      <c r="E47" s="23" t="s">
        <v>44</v>
      </c>
      <c r="F47" s="69">
        <v>75</v>
      </c>
      <c r="G47" s="72">
        <v>263</v>
      </c>
      <c r="H47" s="26"/>
      <c r="I47" s="77"/>
      <c r="K47" s="461">
        <f>G47*50%</f>
        <v>131.5</v>
      </c>
      <c r="L47" s="48">
        <f t="shared" si="1"/>
        <v>9862.5</v>
      </c>
    </row>
    <row r="48" spans="2:14" x14ac:dyDescent="0.25">
      <c r="B48" s="53"/>
      <c r="C48" s="15"/>
      <c r="D48" s="15"/>
      <c r="E48" s="16"/>
      <c r="F48" s="16"/>
      <c r="G48" s="72"/>
      <c r="H48" s="18" t="str">
        <f>IF(E48="","",F48*G48)</f>
        <v/>
      </c>
      <c r="I48" s="19"/>
      <c r="L48" s="48" t="str">
        <f t="shared" si="1"/>
        <v/>
      </c>
    </row>
    <row r="49" spans="2:12" s="31" customFormat="1" ht="19.5" customHeight="1" x14ac:dyDescent="0.25">
      <c r="B49" s="151" t="str">
        <f>$B$11</f>
        <v>C11.4</v>
      </c>
      <c r="C49" s="33" t="s">
        <v>957</v>
      </c>
      <c r="D49" s="33"/>
      <c r="E49" s="34"/>
      <c r="F49" s="35"/>
      <c r="G49" s="34"/>
      <c r="H49" s="36">
        <f>SUM(H10:H48)</f>
        <v>1418450</v>
      </c>
      <c r="I49" s="37"/>
      <c r="J49" s="1"/>
      <c r="L49" s="36">
        <f>SUM(L10:L48)</f>
        <v>152428.5</v>
      </c>
    </row>
    <row r="50" spans="2:12" x14ac:dyDescent="0.25">
      <c r="B50" s="49"/>
      <c r="C50" s="21"/>
      <c r="D50" s="21"/>
      <c r="E50" s="23"/>
      <c r="F50" s="27"/>
      <c r="G50" s="72"/>
      <c r="H50" s="26"/>
      <c r="I50" s="71"/>
    </row>
    <row r="51" spans="2:12" x14ac:dyDescent="0.25">
      <c r="B51" s="22"/>
      <c r="C51" s="29"/>
      <c r="D51" s="147"/>
      <c r="E51" s="23"/>
      <c r="F51" s="27"/>
      <c r="G51" s="72"/>
      <c r="H51" s="26"/>
      <c r="I51" s="71"/>
    </row>
    <row r="52" spans="2:12" x14ac:dyDescent="0.25">
      <c r="B52" s="22"/>
      <c r="C52" s="29"/>
      <c r="D52" s="147"/>
      <c r="E52" s="23"/>
      <c r="F52" s="27"/>
      <c r="G52" s="72"/>
      <c r="H52" s="26"/>
      <c r="I52" s="71"/>
    </row>
    <row r="53" spans="2:12" x14ac:dyDescent="0.25">
      <c r="B53" s="64"/>
      <c r="C53" s="28"/>
      <c r="D53" s="146"/>
      <c r="E53" s="69"/>
      <c r="F53" s="27"/>
      <c r="G53" s="70"/>
      <c r="H53" s="26"/>
      <c r="I53" s="71"/>
    </row>
    <row r="54" spans="2:12" x14ac:dyDescent="0.25">
      <c r="B54" s="53"/>
      <c r="C54" s="15"/>
      <c r="D54" s="15"/>
      <c r="E54" s="23"/>
      <c r="F54" s="27"/>
      <c r="G54" s="67"/>
      <c r="H54" s="26"/>
      <c r="I54" s="71"/>
    </row>
    <row r="55" spans="2:12" x14ac:dyDescent="0.25">
      <c r="B55" s="64"/>
      <c r="C55" s="15"/>
      <c r="D55" s="15"/>
      <c r="E55" s="16"/>
      <c r="F55" s="27"/>
      <c r="G55" s="70"/>
      <c r="H55" s="26"/>
      <c r="I55" s="71"/>
    </row>
    <row r="56" spans="2:12" x14ac:dyDescent="0.25">
      <c r="B56" s="80"/>
      <c r="C56" s="8"/>
      <c r="D56" s="490"/>
      <c r="E56" s="23"/>
      <c r="F56" s="27"/>
      <c r="G56" s="17"/>
      <c r="H56" s="26"/>
      <c r="I56" s="19"/>
    </row>
    <row r="57" spans="2:12" x14ac:dyDescent="0.25">
      <c r="B57" s="64"/>
      <c r="C57" s="15"/>
      <c r="D57" s="15"/>
      <c r="E57" s="16"/>
      <c r="F57" s="27"/>
      <c r="G57" s="17"/>
      <c r="H57" s="26"/>
      <c r="I57" s="19"/>
    </row>
    <row r="58" spans="2:12" x14ac:dyDescent="0.25">
      <c r="B58" s="53"/>
      <c r="C58" s="15"/>
      <c r="D58" s="15"/>
      <c r="E58" s="23"/>
      <c r="F58" s="27"/>
      <c r="G58" s="72"/>
      <c r="H58" s="26"/>
      <c r="I58" s="65"/>
    </row>
    <row r="59" spans="2:12" x14ac:dyDescent="0.25">
      <c r="B59" s="64"/>
      <c r="C59" s="15"/>
      <c r="D59" s="15"/>
      <c r="E59" s="16"/>
      <c r="F59" s="27"/>
      <c r="G59" s="72"/>
      <c r="H59" s="26"/>
      <c r="I59" s="19"/>
    </row>
    <row r="60" spans="2:12" x14ac:dyDescent="0.25">
      <c r="B60" s="53"/>
      <c r="C60" s="15"/>
      <c r="D60" s="15"/>
      <c r="E60" s="23"/>
      <c r="F60" s="27"/>
      <c r="G60" s="67"/>
      <c r="H60" s="26"/>
      <c r="I60" s="19"/>
    </row>
    <row r="61" spans="2:12" x14ac:dyDescent="0.25">
      <c r="B61" s="64"/>
      <c r="C61" s="15"/>
      <c r="D61" s="15"/>
      <c r="E61" s="16"/>
      <c r="F61" s="27"/>
      <c r="G61" s="30"/>
      <c r="H61" s="26"/>
      <c r="I61" s="19"/>
    </row>
    <row r="62" spans="2:12" x14ac:dyDescent="0.25">
      <c r="B62" s="80"/>
      <c r="C62" s="21"/>
      <c r="D62" s="21"/>
      <c r="E62" s="23"/>
      <c r="F62" s="27"/>
      <c r="G62" s="30"/>
      <c r="H62" s="26"/>
      <c r="I62" s="19"/>
    </row>
    <row r="63" spans="2:12" x14ac:dyDescent="0.25">
      <c r="B63" s="64"/>
      <c r="C63" s="15"/>
      <c r="D63" s="15"/>
      <c r="E63" s="16"/>
      <c r="F63" s="27"/>
      <c r="G63" s="30"/>
      <c r="H63" s="26"/>
      <c r="I63" s="19"/>
    </row>
    <row r="64" spans="2:12" x14ac:dyDescent="0.25">
      <c r="B64" s="53"/>
      <c r="C64" s="29"/>
      <c r="D64" s="147"/>
      <c r="E64" s="23"/>
      <c r="F64" s="27"/>
      <c r="G64" s="72"/>
      <c r="H64" s="26"/>
      <c r="I64" s="65"/>
    </row>
    <row r="65" spans="2:9" x14ac:dyDescent="0.25">
      <c r="B65" s="64"/>
      <c r="C65" s="15"/>
      <c r="D65" s="15"/>
      <c r="E65" s="16"/>
      <c r="F65" s="27"/>
      <c r="G65" s="30"/>
      <c r="H65" s="26"/>
      <c r="I65" s="19"/>
    </row>
    <row r="66" spans="2:9" x14ac:dyDescent="0.25">
      <c r="B66" s="53"/>
      <c r="C66" s="15"/>
      <c r="D66" s="15"/>
      <c r="E66" s="23"/>
      <c r="F66" s="27"/>
      <c r="G66" s="67"/>
      <c r="H66" s="26"/>
      <c r="I66" s="19"/>
    </row>
    <row r="67" spans="2:9" x14ac:dyDescent="0.25">
      <c r="B67" s="64"/>
      <c r="C67" s="89"/>
      <c r="D67" s="89"/>
      <c r="E67" s="16"/>
      <c r="F67" s="16"/>
      <c r="G67" s="17"/>
      <c r="H67" s="26"/>
      <c r="I67" s="19"/>
    </row>
    <row r="68" spans="2:9" x14ac:dyDescent="0.25">
      <c r="B68" s="49"/>
      <c r="C68" s="21"/>
      <c r="D68" s="21"/>
      <c r="E68" s="54"/>
      <c r="F68" s="16"/>
      <c r="G68" s="72"/>
      <c r="H68" s="26"/>
      <c r="I68" s="19"/>
    </row>
    <row r="69" spans="2:9" x14ac:dyDescent="0.25">
      <c r="B69" s="64"/>
      <c r="C69" s="15"/>
      <c r="D69" s="15"/>
      <c r="E69" s="16"/>
      <c r="F69" s="16"/>
      <c r="G69" s="72"/>
      <c r="H69" s="26"/>
      <c r="I69" s="19"/>
    </row>
    <row r="70" spans="2:9" x14ac:dyDescent="0.25">
      <c r="B70" s="156"/>
      <c r="C70" s="8"/>
      <c r="D70" s="490"/>
      <c r="E70" s="23"/>
      <c r="F70" s="16"/>
      <c r="G70" s="72"/>
      <c r="H70" s="26"/>
      <c r="I70" s="19"/>
    </row>
    <row r="71" spans="2:9" x14ac:dyDescent="0.25">
      <c r="B71" s="64"/>
      <c r="C71" s="15"/>
      <c r="D71" s="15"/>
      <c r="E71" s="16"/>
      <c r="F71" s="16"/>
      <c r="G71" s="72"/>
      <c r="H71" s="26"/>
      <c r="I71" s="19"/>
    </row>
    <row r="72" spans="2:9" x14ac:dyDescent="0.25">
      <c r="B72" s="53"/>
      <c r="C72" s="15"/>
      <c r="D72" s="15"/>
      <c r="E72" s="23"/>
      <c r="F72" s="16"/>
      <c r="G72" s="75"/>
      <c r="H72" s="26"/>
      <c r="I72" s="19"/>
    </row>
    <row r="73" spans="2:9" x14ac:dyDescent="0.25">
      <c r="B73" s="14"/>
      <c r="C73" s="15"/>
      <c r="D73" s="15"/>
      <c r="E73" s="23"/>
      <c r="F73" s="16"/>
      <c r="G73" s="75"/>
      <c r="H73" s="26"/>
      <c r="I73" s="19"/>
    </row>
    <row r="74" spans="2:9" x14ac:dyDescent="0.25">
      <c r="B74" s="80"/>
      <c r="C74" s="21"/>
      <c r="D74" s="21"/>
      <c r="E74" s="23"/>
      <c r="F74" s="69"/>
      <c r="G74" s="72"/>
      <c r="H74" s="26"/>
      <c r="I74" s="19"/>
    </row>
    <row r="75" spans="2:9" x14ac:dyDescent="0.25">
      <c r="B75" s="64"/>
      <c r="C75" s="15"/>
      <c r="D75" s="15"/>
      <c r="E75" s="16"/>
      <c r="F75" s="16"/>
      <c r="G75" s="72"/>
      <c r="H75" s="26"/>
      <c r="I75" s="19"/>
    </row>
    <row r="76" spans="2:9" x14ac:dyDescent="0.25">
      <c r="B76" s="53"/>
      <c r="C76" s="29"/>
      <c r="D76" s="147"/>
      <c r="E76" s="23"/>
      <c r="F76" s="69"/>
      <c r="G76" s="72"/>
      <c r="H76" s="26"/>
      <c r="I76" s="19"/>
    </row>
    <row r="77" spans="2:9" x14ac:dyDescent="0.25">
      <c r="B77" s="64"/>
      <c r="C77" s="15"/>
      <c r="D77" s="15"/>
      <c r="E77" s="16"/>
      <c r="F77" s="16"/>
      <c r="G77" s="72"/>
      <c r="H77" s="26"/>
      <c r="I77" s="19"/>
    </row>
    <row r="78" spans="2:9" x14ac:dyDescent="0.25">
      <c r="B78" s="53"/>
      <c r="C78" s="15"/>
      <c r="D78" s="15"/>
      <c r="E78" s="23"/>
      <c r="F78" s="69"/>
      <c r="G78" s="72"/>
      <c r="H78" s="26"/>
      <c r="I78" s="71"/>
    </row>
    <row r="79" spans="2:9" x14ac:dyDescent="0.25">
      <c r="B79" s="64"/>
      <c r="C79" s="15"/>
      <c r="D79" s="15"/>
      <c r="E79" s="16"/>
      <c r="F79" s="16"/>
      <c r="G79" s="72"/>
      <c r="H79" s="26"/>
      <c r="I79" s="19"/>
    </row>
    <row r="80" spans="2:9" x14ac:dyDescent="0.25">
      <c r="B80" s="64"/>
      <c r="C80" s="29"/>
      <c r="D80" s="147"/>
      <c r="E80" s="16"/>
      <c r="F80" s="16"/>
      <c r="G80" s="72"/>
      <c r="H80" s="26"/>
      <c r="I80" s="19"/>
    </row>
    <row r="81" spans="1:9" x14ac:dyDescent="0.25">
      <c r="B81" s="64"/>
      <c r="C81" s="29"/>
      <c r="D81" s="147"/>
      <c r="E81" s="16"/>
      <c r="F81" s="16"/>
      <c r="G81" s="72"/>
      <c r="H81" s="26"/>
      <c r="I81" s="19"/>
    </row>
    <row r="82" spans="1:9" x14ac:dyDescent="0.25">
      <c r="B82" s="166"/>
      <c r="C82" s="8"/>
      <c r="D82" s="490"/>
      <c r="E82" s="16"/>
      <c r="F82" s="16"/>
      <c r="G82" s="72"/>
      <c r="H82" s="26"/>
      <c r="I82" s="19"/>
    </row>
    <row r="83" spans="1:9" x14ac:dyDescent="0.25">
      <c r="B83" s="166"/>
      <c r="C83" s="8"/>
      <c r="D83" s="490"/>
      <c r="E83" s="16"/>
      <c r="F83" s="16"/>
      <c r="G83" s="72"/>
      <c r="H83" s="26"/>
      <c r="I83" s="19"/>
    </row>
    <row r="84" spans="1:9" x14ac:dyDescent="0.25">
      <c r="B84" s="53"/>
      <c r="C84" s="29"/>
      <c r="D84" s="147"/>
      <c r="E84" s="23"/>
      <c r="F84" s="69"/>
      <c r="G84" s="72"/>
      <c r="H84" s="26"/>
      <c r="I84" s="77"/>
    </row>
    <row r="85" spans="1:9" x14ac:dyDescent="0.25">
      <c r="A85" s="5"/>
      <c r="B85" s="32"/>
      <c r="C85" s="33"/>
      <c r="D85" s="33"/>
      <c r="E85" s="34"/>
      <c r="F85" s="35"/>
      <c r="G85" s="34"/>
      <c r="H85" s="36"/>
    </row>
  </sheetData>
  <mergeCells count="4">
    <mergeCell ref="F2:H2"/>
    <mergeCell ref="H5:H8"/>
    <mergeCell ref="B5:G5"/>
    <mergeCell ref="B6:G8"/>
  </mergeCells>
  <printOptions horizontalCentered="1"/>
  <pageMargins left="0.43307086614173229" right="0.31496062992125984" top="0.43307086614173229" bottom="0.62992125984251968" header="0.35433070866141736" footer="0.31496062992125984"/>
  <pageSetup paperSize="9" scale="78"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6E11A-D835-49C4-82DE-BF3B9B8340A0}">
  <sheetPr codeName="Sheet85">
    <tabColor rgb="FF92D050"/>
  </sheetPr>
  <dimension ref="B1:N54"/>
  <sheetViews>
    <sheetView view="pageBreakPreview" zoomScaleNormal="125" zoomScaleSheetLayoutView="100" zoomScalePageLayoutView="125" workbookViewId="0">
      <pane xSplit="5" ySplit="2" topLeftCell="F3" activePane="bottomRight" state="frozen"/>
      <selection activeCell="L25" sqref="L25"/>
      <selection pane="topRight" activeCell="L25" sqref="L25"/>
      <selection pane="bottomLeft" activeCell="L25" sqref="L25"/>
      <selection pane="bottomRight" activeCell="L25" sqref="L25"/>
    </sheetView>
  </sheetViews>
  <sheetFormatPr defaultColWidth="8.6640625" defaultRowHeight="13.2" x14ac:dyDescent="0.25"/>
  <cols>
    <col min="1" max="1" width="0.6640625" style="1" customWidth="1"/>
    <col min="2" max="2" width="11.5546875" style="38" customWidth="1"/>
    <col min="3" max="3" width="45.5546875" style="3" customWidth="1"/>
    <col min="4" max="4" width="5.10937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1" width="8.6640625" style="1"/>
    <col min="12" max="12" width="10.6640625" style="1" bestFit="1" customWidth="1"/>
    <col min="13" max="16384" width="8.6640625" style="1"/>
  </cols>
  <sheetData>
    <row r="1" spans="2:14" x14ac:dyDescent="0.25">
      <c r="H1" s="234">
        <f>MAX(H9:H500)</f>
        <v>801145</v>
      </c>
    </row>
    <row r="2" spans="2:14" x14ac:dyDescent="0.25">
      <c r="B2" s="2" t="str">
        <f>Client1</f>
        <v>Province of KwaZulu-Natal</v>
      </c>
      <c r="F2" s="510" t="str">
        <f>"Contract No. "&amp;ContractNo</f>
        <v>Contract No. ZNB02215/00000/00/HOD/INF/23/T</v>
      </c>
      <c r="G2" s="510"/>
      <c r="H2" s="510"/>
      <c r="K2" s="402"/>
      <c r="L2" s="402">
        <f>MAX(L3:L245)</f>
        <v>40285.199999999997</v>
      </c>
      <c r="M2" s="402"/>
      <c r="N2" s="403"/>
    </row>
    <row r="3" spans="2:14" x14ac:dyDescent="0.25">
      <c r="B3" s="96" t="str">
        <f>Client2</f>
        <v>Department of Transport</v>
      </c>
      <c r="K3" s="1" t="s">
        <v>1421</v>
      </c>
      <c r="L3" s="1" t="s">
        <v>1422</v>
      </c>
      <c r="M3" s="1" t="s">
        <v>1423</v>
      </c>
      <c r="N3" s="1" t="s">
        <v>1424</v>
      </c>
    </row>
    <row r="4" spans="2:14" x14ac:dyDescent="0.25">
      <c r="B4" s="3"/>
      <c r="K4" s="86"/>
      <c r="L4" s="86"/>
      <c r="M4" s="86"/>
      <c r="N4" s="86"/>
    </row>
    <row r="5" spans="2:14" ht="12.75" customHeight="1" x14ac:dyDescent="0.25">
      <c r="B5" s="507" t="s">
        <v>8</v>
      </c>
      <c r="C5" s="508"/>
      <c r="D5" s="508"/>
      <c r="E5" s="508"/>
      <c r="F5" s="508"/>
      <c r="G5" s="508"/>
      <c r="H5" s="512" t="str">
        <f>"CHAPTER "&amp;B11</f>
        <v>CHAPTER C11.5</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13"/>
      <c r="I6" s="9"/>
    </row>
    <row r="7" spans="2:14" ht="12.75" customHeight="1" x14ac:dyDescent="0.25">
      <c r="B7" s="500"/>
      <c r="C7" s="501"/>
      <c r="D7" s="501"/>
      <c r="E7" s="501"/>
      <c r="F7" s="501"/>
      <c r="G7" s="501"/>
      <c r="H7" s="513"/>
      <c r="I7" s="9"/>
    </row>
    <row r="8" spans="2:14" s="10" customFormat="1" ht="7.5" customHeight="1" x14ac:dyDescent="0.25">
      <c r="B8" s="502"/>
      <c r="C8" s="503"/>
      <c r="D8" s="503"/>
      <c r="E8" s="503"/>
      <c r="F8" s="503"/>
      <c r="G8" s="503"/>
      <c r="H8" s="514"/>
      <c r="I8" s="13"/>
      <c r="K8" s="1"/>
      <c r="L8" s="1"/>
      <c r="M8" s="1"/>
      <c r="N8" s="1"/>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14"/>
      <c r="C10" s="15"/>
      <c r="D10" s="15"/>
      <c r="E10" s="16"/>
      <c r="F10" s="16"/>
      <c r="G10" s="17"/>
      <c r="H10" s="18" t="str">
        <f>IF(E10="","",F10*G10)</f>
        <v/>
      </c>
      <c r="I10" s="19"/>
      <c r="K10" s="17"/>
      <c r="L10" s="17"/>
      <c r="M10" s="17"/>
      <c r="N10" s="17"/>
    </row>
    <row r="11" spans="2:14" x14ac:dyDescent="0.25">
      <c r="B11" s="80" t="s">
        <v>983</v>
      </c>
      <c r="C11" s="21" t="s">
        <v>984</v>
      </c>
      <c r="D11" s="21"/>
      <c r="E11" s="16"/>
      <c r="F11" s="16"/>
      <c r="G11" s="17"/>
      <c r="H11" s="18"/>
      <c r="I11" s="19"/>
      <c r="K11" s="43"/>
      <c r="L11" s="43"/>
      <c r="M11" s="43"/>
      <c r="N11" s="43"/>
    </row>
    <row r="12" spans="2:14" x14ac:dyDescent="0.25">
      <c r="B12" s="53"/>
      <c r="C12" s="15"/>
      <c r="D12" s="15"/>
      <c r="E12" s="16"/>
      <c r="F12" s="16"/>
      <c r="G12" s="17"/>
      <c r="H12" s="18"/>
      <c r="I12" s="19"/>
      <c r="K12" s="43"/>
      <c r="L12" s="43"/>
      <c r="M12" s="43"/>
      <c r="N12" s="43"/>
    </row>
    <row r="13" spans="2:14" ht="39.6" x14ac:dyDescent="0.25">
      <c r="B13" s="53" t="s">
        <v>793</v>
      </c>
      <c r="C13" s="15" t="s">
        <v>792</v>
      </c>
      <c r="D13" s="15"/>
      <c r="E13" s="16"/>
      <c r="F13" s="16"/>
      <c r="G13" s="17"/>
      <c r="H13" s="18" t="str">
        <f t="shared" ref="H13:H23" si="0">IF(E13="","",F13*G13)</f>
        <v/>
      </c>
      <c r="I13" s="19"/>
      <c r="K13" s="25"/>
      <c r="L13" s="48" t="str">
        <f t="shared" ref="L13:L46" si="1">IF(K13="","",K13*F13)</f>
        <v/>
      </c>
      <c r="M13" s="25"/>
      <c r="N13" s="25"/>
    </row>
    <row r="14" spans="2:14" x14ac:dyDescent="0.25">
      <c r="B14" s="53"/>
      <c r="C14" s="15"/>
      <c r="D14" s="15"/>
      <c r="E14" s="16"/>
      <c r="F14" s="16"/>
      <c r="G14" s="17"/>
      <c r="H14" s="18" t="str">
        <f t="shared" si="0"/>
        <v/>
      </c>
      <c r="I14" s="19"/>
      <c r="K14" s="43"/>
      <c r="L14" s="48" t="str">
        <f t="shared" si="1"/>
        <v/>
      </c>
      <c r="M14" s="43"/>
      <c r="N14" s="43"/>
    </row>
    <row r="15" spans="2:14" ht="39.6" x14ac:dyDescent="0.25">
      <c r="B15" s="53" t="s">
        <v>791</v>
      </c>
      <c r="C15" s="15" t="s">
        <v>1141</v>
      </c>
      <c r="D15" s="23" t="s">
        <v>1602</v>
      </c>
      <c r="E15" s="16" t="s">
        <v>33</v>
      </c>
      <c r="F15" s="16">
        <v>95</v>
      </c>
      <c r="G15" s="17">
        <v>6300</v>
      </c>
      <c r="H15" s="18">
        <f t="shared" si="0"/>
        <v>598500</v>
      </c>
      <c r="I15" s="19"/>
      <c r="K15" s="43">
        <f>G15*5%</f>
        <v>315</v>
      </c>
      <c r="L15" s="48">
        <f t="shared" si="1"/>
        <v>29925</v>
      </c>
      <c r="M15" s="43"/>
      <c r="N15" s="43"/>
    </row>
    <row r="16" spans="2:14" x14ac:dyDescent="0.25">
      <c r="B16" s="66"/>
      <c r="C16" s="15"/>
      <c r="D16" s="15"/>
      <c r="E16" s="16"/>
      <c r="F16" s="16"/>
      <c r="G16" s="17" t="s">
        <v>1556</v>
      </c>
      <c r="H16" s="18" t="str">
        <f t="shared" si="0"/>
        <v/>
      </c>
      <c r="I16" s="19"/>
      <c r="K16" s="43"/>
      <c r="L16" s="48" t="str">
        <f t="shared" si="1"/>
        <v/>
      </c>
      <c r="M16" s="43"/>
      <c r="N16" s="43"/>
    </row>
    <row r="17" spans="2:14" ht="26.4" x14ac:dyDescent="0.25">
      <c r="B17" s="53" t="s">
        <v>790</v>
      </c>
      <c r="C17" s="15" t="s">
        <v>1555</v>
      </c>
      <c r="D17" s="15"/>
      <c r="E17" s="23" t="s">
        <v>33</v>
      </c>
      <c r="F17" s="24">
        <v>15</v>
      </c>
      <c r="G17" s="25">
        <v>2100</v>
      </c>
      <c r="H17" s="26">
        <f t="shared" si="0"/>
        <v>31500</v>
      </c>
      <c r="I17" s="65"/>
      <c r="K17" s="43">
        <f>G17*3%</f>
        <v>63</v>
      </c>
      <c r="L17" s="48">
        <f t="shared" si="1"/>
        <v>945</v>
      </c>
      <c r="M17" s="43"/>
      <c r="N17" s="43"/>
    </row>
    <row r="18" spans="2:14" x14ac:dyDescent="0.25">
      <c r="B18" s="66"/>
      <c r="C18" s="15"/>
      <c r="D18" s="15"/>
      <c r="E18" s="16"/>
      <c r="F18" s="27"/>
      <c r="G18" s="17" t="s">
        <v>1556</v>
      </c>
      <c r="H18" s="26" t="str">
        <f t="shared" si="0"/>
        <v/>
      </c>
      <c r="I18" s="19"/>
      <c r="K18" s="43"/>
      <c r="L18" s="48" t="str">
        <f t="shared" si="1"/>
        <v/>
      </c>
      <c r="M18" s="43"/>
      <c r="N18" s="43"/>
    </row>
    <row r="19" spans="2:14" x14ac:dyDescent="0.25">
      <c r="B19" s="66"/>
      <c r="C19" s="15"/>
      <c r="D19" s="15"/>
      <c r="E19" s="16"/>
      <c r="F19" s="27"/>
      <c r="G19" s="70" t="s">
        <v>1556</v>
      </c>
      <c r="H19" s="26" t="str">
        <f t="shared" si="0"/>
        <v/>
      </c>
      <c r="I19" s="71"/>
      <c r="K19" s="43"/>
      <c r="L19" s="48" t="str">
        <f t="shared" si="1"/>
        <v/>
      </c>
      <c r="M19" s="43"/>
      <c r="N19" s="43"/>
    </row>
    <row r="20" spans="2:14" x14ac:dyDescent="0.25">
      <c r="B20" s="53" t="s">
        <v>789</v>
      </c>
      <c r="C20" s="29" t="s">
        <v>1142</v>
      </c>
      <c r="D20" s="147"/>
      <c r="E20" s="23" t="s">
        <v>44</v>
      </c>
      <c r="F20" s="27">
        <v>250</v>
      </c>
      <c r="G20" s="17">
        <v>131</v>
      </c>
      <c r="H20" s="26">
        <f t="shared" si="0"/>
        <v>32750</v>
      </c>
      <c r="I20" s="19"/>
      <c r="K20" s="43">
        <f>G20*3%</f>
        <v>3.9299999999999997</v>
      </c>
      <c r="L20" s="48">
        <f t="shared" si="1"/>
        <v>982.49999999999989</v>
      </c>
      <c r="M20" s="43"/>
      <c r="N20" s="43"/>
    </row>
    <row r="21" spans="2:14" x14ac:dyDescent="0.25">
      <c r="B21" s="53"/>
      <c r="C21" s="29"/>
      <c r="D21" s="147"/>
      <c r="E21" s="23"/>
      <c r="F21" s="27"/>
      <c r="G21" s="17" t="s">
        <v>1556</v>
      </c>
      <c r="H21" s="26" t="str">
        <f t="shared" si="0"/>
        <v/>
      </c>
      <c r="I21" s="19"/>
      <c r="K21" s="43"/>
      <c r="L21" s="48" t="str">
        <f t="shared" si="1"/>
        <v/>
      </c>
      <c r="M21" s="43"/>
      <c r="N21" s="43"/>
    </row>
    <row r="22" spans="2:14" ht="26.4" x14ac:dyDescent="0.25">
      <c r="B22" s="53" t="s">
        <v>788</v>
      </c>
      <c r="C22" s="29" t="s">
        <v>1143</v>
      </c>
      <c r="D22" s="147"/>
      <c r="E22" s="23" t="s">
        <v>44</v>
      </c>
      <c r="F22" s="27">
        <v>1030</v>
      </c>
      <c r="G22" s="17">
        <v>68</v>
      </c>
      <c r="H22" s="26">
        <f t="shared" si="0"/>
        <v>70040</v>
      </c>
      <c r="I22" s="19"/>
      <c r="K22" s="43">
        <f>G22*3%</f>
        <v>2.04</v>
      </c>
      <c r="L22" s="48">
        <f t="shared" si="1"/>
        <v>2101.1999999999998</v>
      </c>
      <c r="M22" s="43"/>
      <c r="N22" s="43"/>
    </row>
    <row r="23" spans="2:14" x14ac:dyDescent="0.25">
      <c r="B23" s="66"/>
      <c r="C23" s="15"/>
      <c r="D23" s="15"/>
      <c r="E23" s="16"/>
      <c r="F23" s="27"/>
      <c r="G23" s="17" t="s">
        <v>1556</v>
      </c>
      <c r="H23" s="26" t="str">
        <f t="shared" si="0"/>
        <v/>
      </c>
      <c r="I23" s="19"/>
      <c r="K23" s="43"/>
      <c r="L23" s="48" t="str">
        <f t="shared" si="1"/>
        <v/>
      </c>
      <c r="M23" s="43"/>
      <c r="N23" s="43"/>
    </row>
    <row r="24" spans="2:14" x14ac:dyDescent="0.25">
      <c r="B24" s="53" t="s">
        <v>787</v>
      </c>
      <c r="C24" s="15" t="s">
        <v>786</v>
      </c>
      <c r="D24" s="15"/>
      <c r="E24" s="23"/>
      <c r="F24" s="27"/>
      <c r="G24" s="17" t="s">
        <v>1556</v>
      </c>
      <c r="H24" s="26" t="str">
        <f t="shared" ref="H24:H47" si="2">IF(E24="","",F24*G24)</f>
        <v/>
      </c>
      <c r="I24" s="65"/>
      <c r="K24" s="43"/>
      <c r="L24" s="48" t="str">
        <f t="shared" si="1"/>
        <v/>
      </c>
      <c r="M24" s="43"/>
      <c r="N24" s="43"/>
    </row>
    <row r="25" spans="2:14" x14ac:dyDescent="0.25">
      <c r="B25" s="66"/>
      <c r="C25" s="15"/>
      <c r="D25" s="15"/>
      <c r="E25" s="16"/>
      <c r="F25" s="27"/>
      <c r="G25" s="17" t="s">
        <v>1556</v>
      </c>
      <c r="H25" s="26" t="str">
        <f t="shared" si="2"/>
        <v/>
      </c>
      <c r="I25" s="19"/>
      <c r="K25" s="43"/>
      <c r="L25" s="48" t="str">
        <f t="shared" si="1"/>
        <v/>
      </c>
      <c r="M25" s="43"/>
      <c r="N25" s="43"/>
    </row>
    <row r="26" spans="2:14" x14ac:dyDescent="0.25">
      <c r="B26" s="53" t="s">
        <v>49</v>
      </c>
      <c r="C26" s="15" t="s">
        <v>1146</v>
      </c>
      <c r="D26" s="15"/>
      <c r="E26" s="23"/>
      <c r="F26" s="27"/>
      <c r="G26" s="17" t="s">
        <v>1556</v>
      </c>
      <c r="H26" s="26" t="str">
        <f t="shared" si="2"/>
        <v/>
      </c>
      <c r="I26" s="19"/>
      <c r="K26" s="43"/>
      <c r="L26" s="48" t="str">
        <f t="shared" si="1"/>
        <v/>
      </c>
      <c r="M26" s="43"/>
      <c r="N26" s="43"/>
    </row>
    <row r="27" spans="2:14" x14ac:dyDescent="0.25">
      <c r="B27" s="66"/>
      <c r="C27" s="15"/>
      <c r="D27" s="15"/>
      <c r="E27" s="16"/>
      <c r="F27" s="27"/>
      <c r="G27" s="17" t="s">
        <v>1556</v>
      </c>
      <c r="H27" s="26" t="str">
        <f t="shared" si="2"/>
        <v/>
      </c>
      <c r="I27" s="19"/>
      <c r="K27" s="43"/>
      <c r="L27" s="48" t="str">
        <f t="shared" si="1"/>
        <v/>
      </c>
      <c r="M27" s="43"/>
      <c r="N27" s="43"/>
    </row>
    <row r="28" spans="2:14" ht="26.4" x14ac:dyDescent="0.25">
      <c r="B28" s="53" t="s">
        <v>340</v>
      </c>
      <c r="C28" s="15" t="s">
        <v>1144</v>
      </c>
      <c r="D28" s="15"/>
      <c r="E28" s="23" t="s">
        <v>44</v>
      </c>
      <c r="F28" s="27">
        <v>70</v>
      </c>
      <c r="G28" s="17">
        <v>420</v>
      </c>
      <c r="H28" s="26">
        <f t="shared" si="2"/>
        <v>29400</v>
      </c>
      <c r="I28" s="19"/>
      <c r="K28" s="43">
        <f>G28*3%</f>
        <v>12.6</v>
      </c>
      <c r="L28" s="48">
        <f t="shared" si="1"/>
        <v>882</v>
      </c>
      <c r="M28" s="43"/>
      <c r="N28" s="43"/>
    </row>
    <row r="29" spans="2:14" x14ac:dyDescent="0.25">
      <c r="B29" s="66"/>
      <c r="C29" s="15"/>
      <c r="D29" s="15"/>
      <c r="E29" s="16"/>
      <c r="F29" s="27"/>
      <c r="G29" s="17" t="s">
        <v>1556</v>
      </c>
      <c r="H29" s="26" t="str">
        <f t="shared" si="2"/>
        <v/>
      </c>
      <c r="I29" s="19"/>
      <c r="K29" s="43"/>
      <c r="L29" s="48" t="str">
        <f t="shared" si="1"/>
        <v/>
      </c>
      <c r="M29" s="43"/>
      <c r="N29" s="43"/>
    </row>
    <row r="30" spans="2:14" x14ac:dyDescent="0.25">
      <c r="B30" s="53" t="s">
        <v>65</v>
      </c>
      <c r="C30" s="15" t="s">
        <v>785</v>
      </c>
      <c r="D30" s="15"/>
      <c r="E30" s="23"/>
      <c r="F30" s="16"/>
      <c r="G30" s="17" t="s">
        <v>1556</v>
      </c>
      <c r="H30" s="26" t="str">
        <f t="shared" si="2"/>
        <v/>
      </c>
      <c r="I30" s="19"/>
      <c r="K30" s="43"/>
      <c r="L30" s="48" t="str">
        <f t="shared" si="1"/>
        <v/>
      </c>
      <c r="M30" s="43"/>
      <c r="N30" s="43"/>
    </row>
    <row r="31" spans="2:14" x14ac:dyDescent="0.25">
      <c r="B31" s="66"/>
      <c r="C31" s="15"/>
      <c r="D31" s="15"/>
      <c r="E31" s="16"/>
      <c r="F31" s="16"/>
      <c r="G31" s="17" t="s">
        <v>1556</v>
      </c>
      <c r="H31" s="26" t="str">
        <f t="shared" si="2"/>
        <v/>
      </c>
      <c r="I31" s="19"/>
      <c r="K31" s="43"/>
      <c r="L31" s="48" t="str">
        <f t="shared" si="1"/>
        <v/>
      </c>
      <c r="M31" s="43"/>
      <c r="N31" s="43"/>
    </row>
    <row r="32" spans="2:14" ht="26.4" x14ac:dyDescent="0.25">
      <c r="B32" s="53" t="s">
        <v>340</v>
      </c>
      <c r="C32" s="15" t="s">
        <v>1145</v>
      </c>
      <c r="D32" s="15"/>
      <c r="E32" s="23" t="s">
        <v>44</v>
      </c>
      <c r="F32" s="69">
        <v>55</v>
      </c>
      <c r="G32" s="17">
        <v>420</v>
      </c>
      <c r="H32" s="26">
        <f t="shared" si="2"/>
        <v>23100</v>
      </c>
      <c r="I32" s="71"/>
      <c r="K32" s="43">
        <f>G32*3%</f>
        <v>12.6</v>
      </c>
      <c r="L32" s="48">
        <f t="shared" si="1"/>
        <v>693</v>
      </c>
      <c r="M32" s="43"/>
      <c r="N32" s="43"/>
    </row>
    <row r="33" spans="2:14" x14ac:dyDescent="0.25">
      <c r="B33" s="91"/>
      <c r="C33" s="15"/>
      <c r="D33" s="15"/>
      <c r="E33" s="23"/>
      <c r="F33" s="24"/>
      <c r="G33" s="17" t="s">
        <v>1556</v>
      </c>
      <c r="H33" s="26" t="str">
        <f t="shared" si="2"/>
        <v/>
      </c>
      <c r="K33" s="43"/>
      <c r="L33" s="48" t="str">
        <f t="shared" si="1"/>
        <v/>
      </c>
      <c r="M33" s="43"/>
      <c r="N33" s="43"/>
    </row>
    <row r="34" spans="2:14" x14ac:dyDescent="0.25">
      <c r="B34" s="53" t="s">
        <v>784</v>
      </c>
      <c r="C34" s="15" t="s">
        <v>783</v>
      </c>
      <c r="D34" s="15"/>
      <c r="E34" s="23"/>
      <c r="F34" s="24"/>
      <c r="G34" s="17" t="s">
        <v>1556</v>
      </c>
      <c r="H34" s="26" t="str">
        <f t="shared" si="2"/>
        <v/>
      </c>
      <c r="K34" s="43"/>
      <c r="L34" s="48" t="str">
        <f t="shared" si="1"/>
        <v/>
      </c>
      <c r="M34" s="43"/>
      <c r="N34" s="43"/>
    </row>
    <row r="35" spans="2:14" x14ac:dyDescent="0.25">
      <c r="B35" s="66"/>
      <c r="C35" s="15"/>
      <c r="D35" s="15"/>
      <c r="E35" s="16"/>
      <c r="F35" s="24"/>
      <c r="G35" s="17" t="s">
        <v>1556</v>
      </c>
      <c r="H35" s="26" t="str">
        <f t="shared" si="2"/>
        <v/>
      </c>
      <c r="K35" s="43"/>
      <c r="L35" s="48" t="str">
        <f t="shared" si="1"/>
        <v/>
      </c>
      <c r="M35" s="43"/>
      <c r="N35" s="43"/>
    </row>
    <row r="36" spans="2:14" x14ac:dyDescent="0.25">
      <c r="B36" s="53" t="s">
        <v>782</v>
      </c>
      <c r="C36" s="15" t="s">
        <v>781</v>
      </c>
      <c r="D36" s="15"/>
      <c r="E36" s="23"/>
      <c r="F36" s="24"/>
      <c r="G36" s="17" t="s">
        <v>1556</v>
      </c>
      <c r="H36" s="26" t="str">
        <f t="shared" si="2"/>
        <v/>
      </c>
      <c r="K36" s="43"/>
      <c r="L36" s="48" t="str">
        <f t="shared" si="1"/>
        <v/>
      </c>
      <c r="M36" s="43"/>
      <c r="N36" s="43"/>
    </row>
    <row r="37" spans="2:14" x14ac:dyDescent="0.25">
      <c r="B37" s="66"/>
      <c r="C37" s="15"/>
      <c r="D37" s="15"/>
      <c r="E37" s="16"/>
      <c r="F37" s="24"/>
      <c r="G37" s="17" t="s">
        <v>1556</v>
      </c>
      <c r="H37" s="26" t="str">
        <f t="shared" si="2"/>
        <v/>
      </c>
      <c r="K37" s="43"/>
      <c r="L37" s="48" t="str">
        <f t="shared" si="1"/>
        <v/>
      </c>
      <c r="M37" s="43"/>
      <c r="N37" s="43"/>
    </row>
    <row r="38" spans="2:14" x14ac:dyDescent="0.25">
      <c r="B38" s="53" t="s">
        <v>49</v>
      </c>
      <c r="C38" s="29" t="s">
        <v>780</v>
      </c>
      <c r="D38" s="147"/>
      <c r="E38" s="23" t="s">
        <v>33</v>
      </c>
      <c r="F38" s="24">
        <v>25</v>
      </c>
      <c r="G38" s="17">
        <v>357</v>
      </c>
      <c r="H38" s="26">
        <f t="shared" si="2"/>
        <v>8925</v>
      </c>
      <c r="K38" s="43">
        <f>G38*30%</f>
        <v>107.1</v>
      </c>
      <c r="L38" s="48">
        <f t="shared" si="1"/>
        <v>2677.5</v>
      </c>
      <c r="M38" s="43"/>
      <c r="N38" s="43"/>
    </row>
    <row r="39" spans="2:14" x14ac:dyDescent="0.25">
      <c r="B39" s="91"/>
      <c r="C39" s="15"/>
      <c r="D39" s="15"/>
      <c r="E39" s="23"/>
      <c r="F39" s="24"/>
      <c r="G39" s="17" t="s">
        <v>1556</v>
      </c>
      <c r="H39" s="26" t="str">
        <f t="shared" si="2"/>
        <v/>
      </c>
      <c r="K39" s="43"/>
      <c r="L39" s="48" t="str">
        <f t="shared" si="1"/>
        <v/>
      </c>
      <c r="M39" s="43"/>
      <c r="N39" s="43"/>
    </row>
    <row r="40" spans="2:14" x14ac:dyDescent="0.25">
      <c r="B40" s="53" t="s">
        <v>779</v>
      </c>
      <c r="C40" s="29" t="s">
        <v>1147</v>
      </c>
      <c r="D40" s="147"/>
      <c r="E40" s="23" t="s">
        <v>33</v>
      </c>
      <c r="F40" s="24">
        <v>10</v>
      </c>
      <c r="G40" s="17">
        <v>693</v>
      </c>
      <c r="H40" s="26">
        <f t="shared" si="2"/>
        <v>6930</v>
      </c>
      <c r="K40" s="43">
        <f>G40*30%</f>
        <v>207.9</v>
      </c>
      <c r="L40" s="48">
        <f t="shared" si="1"/>
        <v>2079</v>
      </c>
      <c r="M40" s="43"/>
      <c r="N40" s="43"/>
    </row>
    <row r="41" spans="2:14" x14ac:dyDescent="0.25">
      <c r="B41" s="91"/>
      <c r="C41" s="15"/>
      <c r="D41" s="15"/>
      <c r="E41" s="23"/>
      <c r="F41" s="24"/>
      <c r="G41" s="17" t="s">
        <v>1556</v>
      </c>
      <c r="H41" s="26" t="str">
        <f t="shared" si="2"/>
        <v/>
      </c>
      <c r="K41" s="43"/>
      <c r="L41" s="48" t="str">
        <f t="shared" si="1"/>
        <v/>
      </c>
      <c r="M41" s="43"/>
      <c r="N41" s="43"/>
    </row>
    <row r="42" spans="2:14" x14ac:dyDescent="0.25">
      <c r="B42" s="91"/>
      <c r="C42" s="15"/>
      <c r="D42" s="15"/>
      <c r="E42" s="23"/>
      <c r="F42" s="24"/>
      <c r="G42" s="17" t="s">
        <v>1556</v>
      </c>
      <c r="H42" s="26" t="str">
        <f t="shared" si="2"/>
        <v/>
      </c>
      <c r="K42" s="43"/>
      <c r="L42" s="48" t="str">
        <f t="shared" si="1"/>
        <v/>
      </c>
      <c r="M42" s="43"/>
      <c r="N42" s="43"/>
    </row>
    <row r="43" spans="2:14" x14ac:dyDescent="0.25">
      <c r="B43" s="91"/>
      <c r="C43" s="15"/>
      <c r="D43" s="15"/>
      <c r="E43" s="23"/>
      <c r="F43" s="24"/>
      <c r="G43" s="17" t="s">
        <v>1556</v>
      </c>
      <c r="H43" s="26" t="str">
        <f t="shared" si="2"/>
        <v/>
      </c>
      <c r="K43" s="43"/>
      <c r="L43" s="48" t="str">
        <f t="shared" si="1"/>
        <v/>
      </c>
      <c r="M43" s="43"/>
      <c r="N43" s="43"/>
    </row>
    <row r="44" spans="2:14" x14ac:dyDescent="0.25">
      <c r="B44" s="91"/>
      <c r="C44" s="15"/>
      <c r="D44" s="15"/>
      <c r="E44" s="23"/>
      <c r="F44" s="24"/>
      <c r="G44" s="17" t="s">
        <v>1556</v>
      </c>
      <c r="H44" s="26" t="str">
        <f t="shared" si="2"/>
        <v/>
      </c>
      <c r="K44" s="43"/>
      <c r="L44" s="48" t="str">
        <f t="shared" si="1"/>
        <v/>
      </c>
      <c r="M44" s="43"/>
      <c r="N44" s="43"/>
    </row>
    <row r="45" spans="2:14" x14ac:dyDescent="0.25">
      <c r="B45" s="91"/>
      <c r="C45" s="15"/>
      <c r="D45" s="15"/>
      <c r="E45" s="23"/>
      <c r="F45" s="24"/>
      <c r="G45" s="17" t="s">
        <v>1556</v>
      </c>
      <c r="H45" s="26" t="str">
        <f t="shared" si="2"/>
        <v/>
      </c>
      <c r="K45" s="43"/>
      <c r="L45" s="48" t="str">
        <f t="shared" si="1"/>
        <v/>
      </c>
      <c r="M45" s="43"/>
      <c r="N45" s="43"/>
    </row>
    <row r="46" spans="2:14" x14ac:dyDescent="0.25">
      <c r="B46" s="91"/>
      <c r="C46" s="15"/>
      <c r="D46" s="15"/>
      <c r="E46" s="23"/>
      <c r="F46" s="24"/>
      <c r="G46" s="17"/>
      <c r="H46" s="26" t="str">
        <f t="shared" si="2"/>
        <v/>
      </c>
      <c r="K46" s="43"/>
      <c r="L46" s="48" t="str">
        <f t="shared" si="1"/>
        <v/>
      </c>
      <c r="M46" s="43"/>
      <c r="N46" s="43"/>
    </row>
    <row r="47" spans="2:14" x14ac:dyDescent="0.25">
      <c r="B47" s="91"/>
      <c r="C47" s="15"/>
      <c r="D47" s="15"/>
      <c r="E47" s="23"/>
      <c r="F47" s="24"/>
      <c r="G47" s="17"/>
      <c r="H47" s="26" t="str">
        <f t="shared" si="2"/>
        <v/>
      </c>
      <c r="K47" s="43"/>
      <c r="L47" s="48" t="str">
        <f t="shared" ref="L47:L53" si="3">IF(K47="","",K47*F47)</f>
        <v/>
      </c>
      <c r="M47" s="43"/>
      <c r="N47" s="43"/>
    </row>
    <row r="48" spans="2:14" x14ac:dyDescent="0.25">
      <c r="B48" s="91"/>
      <c r="C48" s="15"/>
      <c r="D48" s="15"/>
      <c r="E48" s="23"/>
      <c r="F48" s="24"/>
      <c r="G48" s="17"/>
      <c r="H48" s="26"/>
      <c r="K48" s="43"/>
      <c r="L48" s="48" t="str">
        <f t="shared" si="3"/>
        <v/>
      </c>
      <c r="M48" s="43"/>
      <c r="N48" s="43"/>
    </row>
    <row r="49" spans="2:14" x14ac:dyDescent="0.25">
      <c r="B49" s="91"/>
      <c r="C49" s="15"/>
      <c r="D49" s="15"/>
      <c r="E49" s="23"/>
      <c r="F49" s="24"/>
      <c r="G49" s="17"/>
      <c r="H49" s="26"/>
      <c r="K49" s="43"/>
      <c r="L49" s="48" t="str">
        <f t="shared" si="3"/>
        <v/>
      </c>
      <c r="M49" s="43"/>
      <c r="N49" s="43"/>
    </row>
    <row r="50" spans="2:14" x14ac:dyDescent="0.25">
      <c r="B50" s="91"/>
      <c r="C50" s="15"/>
      <c r="D50" s="15"/>
      <c r="E50" s="23"/>
      <c r="F50" s="24"/>
      <c r="G50" s="17"/>
      <c r="H50" s="26"/>
      <c r="K50" s="43"/>
      <c r="L50" s="48" t="str">
        <f t="shared" si="3"/>
        <v/>
      </c>
      <c r="M50" s="43"/>
      <c r="N50" s="43"/>
    </row>
    <row r="51" spans="2:14" x14ac:dyDescent="0.25">
      <c r="B51" s="91"/>
      <c r="C51" s="15"/>
      <c r="D51" s="15"/>
      <c r="E51" s="23"/>
      <c r="F51" s="24"/>
      <c r="G51" s="17"/>
      <c r="H51" s="26"/>
      <c r="K51" s="43"/>
      <c r="L51" s="48" t="str">
        <f t="shared" si="3"/>
        <v/>
      </c>
      <c r="M51" s="43"/>
      <c r="N51" s="43"/>
    </row>
    <row r="52" spans="2:14" x14ac:dyDescent="0.25">
      <c r="B52" s="91"/>
      <c r="C52" s="15"/>
      <c r="D52" s="15"/>
      <c r="E52" s="23"/>
      <c r="F52" s="24"/>
      <c r="G52" s="17"/>
      <c r="H52" s="26"/>
      <c r="K52" s="43"/>
      <c r="L52" s="48" t="str">
        <f t="shared" si="3"/>
        <v/>
      </c>
      <c r="M52" s="43"/>
      <c r="N52" s="43"/>
    </row>
    <row r="53" spans="2:14" x14ac:dyDescent="0.25">
      <c r="B53" s="66"/>
      <c r="C53" s="15"/>
      <c r="D53" s="15"/>
      <c r="E53" s="16"/>
      <c r="F53" s="27"/>
      <c r="G53" s="17"/>
      <c r="H53" s="26" t="str">
        <f>IF(E53="","",F53*G53)</f>
        <v/>
      </c>
      <c r="K53" s="43"/>
      <c r="L53" s="48" t="str">
        <f t="shared" si="3"/>
        <v/>
      </c>
      <c r="M53" s="43"/>
      <c r="N53" s="43"/>
    </row>
    <row r="54" spans="2:14" s="31" customFormat="1" ht="19.5" customHeight="1" x14ac:dyDescent="0.25">
      <c r="B54" s="151" t="str">
        <f>$B$11</f>
        <v>C11.5</v>
      </c>
      <c r="C54" s="33" t="s">
        <v>957</v>
      </c>
      <c r="D54" s="33"/>
      <c r="E54" s="34"/>
      <c r="F54" s="35"/>
      <c r="G54" s="34"/>
      <c r="H54" s="36">
        <f>SUM(H10:H53)</f>
        <v>801145</v>
      </c>
      <c r="I54" s="37"/>
      <c r="L54" s="36">
        <f>SUM(L10:L53)</f>
        <v>40285.199999999997</v>
      </c>
    </row>
  </sheetData>
  <mergeCells count="4">
    <mergeCell ref="F2:H2"/>
    <mergeCell ref="H5:H8"/>
    <mergeCell ref="B5:G5"/>
    <mergeCell ref="B6:G8"/>
  </mergeCells>
  <printOptions horizontalCentered="1"/>
  <pageMargins left="0.43307086614173229" right="0.31496062992125984" top="0.43307086614173229" bottom="0.62992125984251968" header="0.35433070866141736" footer="0.31496062992125984"/>
  <pageSetup paperSize="9" scale="78"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F3D5A-EBE2-4B8F-8AF9-8C64AAF38A90}">
  <sheetPr codeName="Sheet87">
    <tabColor rgb="FF92D050"/>
  </sheetPr>
  <dimension ref="B1:N65"/>
  <sheetViews>
    <sheetView view="pageBreakPreview" zoomScale="85" zoomScaleNormal="125" zoomScaleSheetLayoutView="85" zoomScalePageLayoutView="125" workbookViewId="0">
      <pane xSplit="5" ySplit="2" topLeftCell="F12" activePane="bottomRight" state="frozen"/>
      <selection activeCell="L25" sqref="L25"/>
      <selection pane="topRight" activeCell="L25" sqref="L25"/>
      <selection pane="bottomLeft" activeCell="L25" sqref="L25"/>
      <selection pane="bottomRight" activeCell="L25" sqref="L25"/>
    </sheetView>
  </sheetViews>
  <sheetFormatPr defaultColWidth="8.6640625" defaultRowHeight="11.4" x14ac:dyDescent="0.25"/>
  <cols>
    <col min="1" max="1" width="0.6640625" style="106" customWidth="1"/>
    <col min="2" max="2" width="11.5546875" style="110" customWidth="1"/>
    <col min="3" max="3" width="45.5546875" style="109" customWidth="1"/>
    <col min="4" max="4" width="2.5546875" style="109" customWidth="1"/>
    <col min="5" max="5" width="13.5546875" style="108" customWidth="1"/>
    <col min="6" max="6" width="15.5546875" style="108" customWidth="1"/>
    <col min="7" max="7" width="15.5546875" style="106" customWidth="1"/>
    <col min="8" max="8" width="15.5546875" style="107" customWidth="1"/>
    <col min="9" max="9" width="0.6640625" style="107" customWidth="1"/>
    <col min="10" max="11" width="8.6640625" style="106"/>
    <col min="12" max="12" width="10.44140625" style="106" bestFit="1" customWidth="1"/>
    <col min="13" max="16384" width="8.6640625" style="106"/>
  </cols>
  <sheetData>
    <row r="1" spans="2:14" ht="13.2" x14ac:dyDescent="0.25">
      <c r="H1" s="234">
        <f>MAX(H9:H500)</f>
        <v>370437</v>
      </c>
    </row>
    <row r="2" spans="2:14" ht="12" x14ac:dyDescent="0.25">
      <c r="B2" s="140" t="str">
        <f>Client1</f>
        <v>Province of KwaZulu-Natal</v>
      </c>
      <c r="F2" s="617" t="str">
        <f>"Contract No. "&amp;ContractNo</f>
        <v>Contract No. ZNB02215/00000/00/HOD/INF/23/T</v>
      </c>
      <c r="G2" s="617"/>
      <c r="H2" s="617"/>
      <c r="K2" s="402"/>
      <c r="L2" s="402">
        <f>MAX(L3:L245)</f>
        <v>20028.2</v>
      </c>
      <c r="M2" s="402"/>
      <c r="N2" s="403"/>
    </row>
    <row r="3" spans="2:14" ht="13.2" x14ac:dyDescent="0.25">
      <c r="B3" s="139" t="str">
        <f>Client2</f>
        <v>Department of Transport</v>
      </c>
      <c r="K3" s="1" t="s">
        <v>1421</v>
      </c>
      <c r="L3" s="1" t="s">
        <v>1422</v>
      </c>
      <c r="M3" s="1" t="s">
        <v>1423</v>
      </c>
      <c r="N3" s="1" t="s">
        <v>1424</v>
      </c>
    </row>
    <row r="4" spans="2:14" ht="13.2" x14ac:dyDescent="0.25">
      <c r="B4" s="109"/>
      <c r="K4" s="86"/>
      <c r="L4" s="86"/>
      <c r="M4" s="86"/>
      <c r="N4" s="86"/>
    </row>
    <row r="5" spans="2:14" ht="12.75" customHeight="1" x14ac:dyDescent="0.25">
      <c r="B5" s="621" t="s">
        <v>8</v>
      </c>
      <c r="C5" s="622"/>
      <c r="D5" s="622"/>
      <c r="E5" s="622"/>
      <c r="F5" s="622"/>
      <c r="G5" s="622"/>
      <c r="H5" s="618" t="str">
        <f>"CHAPTER "&amp;B11</f>
        <v>CHAPTER C11.7</v>
      </c>
      <c r="I5" s="141"/>
      <c r="K5" s="1"/>
      <c r="L5" s="1"/>
      <c r="M5" s="1"/>
      <c r="N5" s="1"/>
    </row>
    <row r="6" spans="2:14" ht="7.5" customHeight="1" x14ac:dyDescent="0.25">
      <c r="B6" s="623" t="str">
        <f>ContractDescription</f>
        <v>UPGRADING OF MAIN ROAD P8/3 FROM GRAVEL TO BLACKTOP BETWEEN KM 17.560 AND KM 24.221 IN THE PIETERMARITZBURG REGION</v>
      </c>
      <c r="C6" s="624"/>
      <c r="D6" s="624"/>
      <c r="E6" s="624"/>
      <c r="F6" s="624"/>
      <c r="G6" s="624"/>
      <c r="H6" s="619"/>
      <c r="I6" s="138"/>
      <c r="K6" s="1"/>
      <c r="L6" s="1"/>
      <c r="M6" s="1"/>
      <c r="N6" s="1"/>
    </row>
    <row r="7" spans="2:14" ht="12.75" customHeight="1" x14ac:dyDescent="0.25">
      <c r="B7" s="623"/>
      <c r="C7" s="624"/>
      <c r="D7" s="624"/>
      <c r="E7" s="624"/>
      <c r="F7" s="624"/>
      <c r="G7" s="624"/>
      <c r="H7" s="619"/>
      <c r="I7" s="138"/>
      <c r="K7" s="1"/>
      <c r="L7" s="1"/>
      <c r="M7" s="1"/>
      <c r="N7" s="1"/>
    </row>
    <row r="8" spans="2:14" s="136" customFormat="1" ht="7.5" customHeight="1" x14ac:dyDescent="0.25">
      <c r="B8" s="625"/>
      <c r="C8" s="626"/>
      <c r="D8" s="626"/>
      <c r="E8" s="626"/>
      <c r="F8" s="626"/>
      <c r="G8" s="626"/>
      <c r="H8" s="620"/>
      <c r="I8" s="137"/>
      <c r="K8" s="1"/>
      <c r="L8" s="1"/>
      <c r="M8" s="1"/>
      <c r="N8" s="1"/>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ht="13.2" x14ac:dyDescent="0.25">
      <c r="B10" s="118"/>
      <c r="C10" s="115"/>
      <c r="D10" s="115"/>
      <c r="E10" s="114"/>
      <c r="F10" s="114"/>
      <c r="G10" s="124"/>
      <c r="H10" s="126" t="str">
        <f>IF(E10="","",F10*G10)</f>
        <v/>
      </c>
      <c r="I10" s="131"/>
      <c r="K10" s="17"/>
      <c r="L10" s="17"/>
      <c r="M10" s="17"/>
      <c r="N10" s="17"/>
    </row>
    <row r="11" spans="2:14" ht="13.2" x14ac:dyDescent="0.2">
      <c r="B11" s="123" t="s">
        <v>879</v>
      </c>
      <c r="C11" s="122" t="s">
        <v>878</v>
      </c>
      <c r="D11" s="122"/>
      <c r="E11" s="114"/>
      <c r="F11" s="114"/>
      <c r="G11" s="124"/>
      <c r="H11" s="126" t="str">
        <f>IF(E11="","",F11*G11)</f>
        <v/>
      </c>
      <c r="I11" s="131"/>
      <c r="K11" s="43"/>
      <c r="L11" s="43"/>
      <c r="M11" s="43"/>
      <c r="N11" s="43"/>
    </row>
    <row r="12" spans="2:14" ht="10.5" customHeight="1" x14ac:dyDescent="0.2">
      <c r="B12" s="118"/>
      <c r="C12" s="115"/>
      <c r="D12" s="115"/>
      <c r="E12" s="114"/>
      <c r="F12" s="114"/>
      <c r="G12" s="124"/>
      <c r="H12" s="126" t="str">
        <f>IF(E12="","",F12*G12)</f>
        <v/>
      </c>
      <c r="I12" s="131"/>
      <c r="K12" s="43"/>
      <c r="L12" s="43"/>
      <c r="M12" s="43"/>
      <c r="N12" s="43"/>
    </row>
    <row r="13" spans="2:14" ht="13.2" x14ac:dyDescent="0.2">
      <c r="B13" s="221" t="s">
        <v>877</v>
      </c>
      <c r="C13" s="122" t="s">
        <v>876</v>
      </c>
      <c r="D13" s="122"/>
      <c r="E13" s="114"/>
      <c r="F13" s="114"/>
      <c r="G13" s="124"/>
      <c r="H13" s="126"/>
      <c r="I13" s="131"/>
      <c r="K13" s="25"/>
      <c r="L13" s="48" t="str">
        <f t="shared" ref="L13:L46" si="0">IF(K13="","",K13*F13)</f>
        <v/>
      </c>
      <c r="M13" s="25"/>
      <c r="N13" s="25"/>
    </row>
    <row r="14" spans="2:14" ht="13.2" x14ac:dyDescent="0.2">
      <c r="B14" s="222"/>
      <c r="C14" s="115"/>
      <c r="D14" s="115"/>
      <c r="E14" s="114"/>
      <c r="F14" s="114"/>
      <c r="G14" s="124"/>
      <c r="H14" s="126"/>
      <c r="I14" s="131"/>
      <c r="K14" s="43"/>
      <c r="L14" s="48" t="str">
        <f t="shared" si="0"/>
        <v/>
      </c>
      <c r="M14" s="43"/>
      <c r="N14" s="43"/>
    </row>
    <row r="15" spans="2:14" ht="22.8" x14ac:dyDescent="0.2">
      <c r="B15" s="118" t="s">
        <v>875</v>
      </c>
      <c r="C15" s="115" t="s">
        <v>1152</v>
      </c>
      <c r="D15" s="115"/>
      <c r="E15" s="117"/>
      <c r="F15" s="125"/>
      <c r="G15" s="124"/>
      <c r="H15" s="126" t="str">
        <f t="shared" ref="H15:H25" si="1">IF(E15="","",F15*G15)</f>
        <v/>
      </c>
      <c r="I15" s="134"/>
      <c r="K15" s="43"/>
      <c r="L15" s="48" t="str">
        <f t="shared" si="0"/>
        <v/>
      </c>
      <c r="M15" s="43"/>
      <c r="N15" s="43"/>
    </row>
    <row r="16" spans="2:14" ht="13.2" x14ac:dyDescent="0.2">
      <c r="B16" s="118"/>
      <c r="C16" s="115"/>
      <c r="D16" s="115"/>
      <c r="E16" s="117"/>
      <c r="F16" s="125"/>
      <c r="G16" s="124"/>
      <c r="H16" s="126" t="str">
        <f t="shared" si="1"/>
        <v/>
      </c>
      <c r="I16" s="134"/>
      <c r="K16" s="43"/>
      <c r="L16" s="48" t="str">
        <f t="shared" si="0"/>
        <v/>
      </c>
      <c r="M16" s="43"/>
      <c r="N16" s="43"/>
    </row>
    <row r="17" spans="2:14" ht="13.2" x14ac:dyDescent="0.2">
      <c r="B17" s="118"/>
      <c r="C17" s="214" t="s">
        <v>1153</v>
      </c>
      <c r="D17" s="23" t="s">
        <v>1602</v>
      </c>
      <c r="E17" s="215" t="s">
        <v>33</v>
      </c>
      <c r="F17" s="125">
        <v>8</v>
      </c>
      <c r="G17" s="124">
        <v>4725</v>
      </c>
      <c r="H17" s="111">
        <f t="shared" si="1"/>
        <v>37800</v>
      </c>
      <c r="I17" s="134"/>
      <c r="J17" s="1"/>
      <c r="K17" s="447">
        <f>ROUND(3%*G17,0)</f>
        <v>142</v>
      </c>
      <c r="L17" s="48">
        <f t="shared" si="0"/>
        <v>1136</v>
      </c>
      <c r="M17" s="43"/>
      <c r="N17" s="43"/>
    </row>
    <row r="18" spans="2:14" ht="13.2" x14ac:dyDescent="0.2">
      <c r="B18" s="118"/>
      <c r="C18" s="214"/>
      <c r="D18" s="214"/>
      <c r="E18" s="215"/>
      <c r="F18" s="125"/>
      <c r="G18" s="124" t="s">
        <v>1556</v>
      </c>
      <c r="H18" s="111" t="str">
        <f t="shared" si="1"/>
        <v/>
      </c>
      <c r="I18" s="134"/>
      <c r="J18" s="1"/>
      <c r="K18" s="43"/>
      <c r="L18" s="48" t="str">
        <f t="shared" si="0"/>
        <v/>
      </c>
      <c r="M18" s="43"/>
      <c r="N18" s="43"/>
    </row>
    <row r="19" spans="2:14" ht="13.2" x14ac:dyDescent="0.2">
      <c r="B19" s="118"/>
      <c r="C19" s="214" t="s">
        <v>1154</v>
      </c>
      <c r="D19" s="23" t="s">
        <v>1602</v>
      </c>
      <c r="E19" s="215" t="s">
        <v>33</v>
      </c>
      <c r="F19" s="125">
        <v>1</v>
      </c>
      <c r="G19" s="124">
        <v>5250</v>
      </c>
      <c r="H19" s="111">
        <f t="shared" si="1"/>
        <v>5250</v>
      </c>
      <c r="I19" s="134"/>
      <c r="J19" s="1"/>
      <c r="K19" s="447">
        <f>ROUND(3%*G19,0)</f>
        <v>158</v>
      </c>
      <c r="L19" s="48">
        <f t="shared" si="0"/>
        <v>158</v>
      </c>
      <c r="M19" s="43"/>
      <c r="N19" s="43"/>
    </row>
    <row r="20" spans="2:14" ht="13.2" x14ac:dyDescent="0.2">
      <c r="B20" s="130"/>
      <c r="C20" s="115"/>
      <c r="D20" s="115"/>
      <c r="E20" s="114"/>
      <c r="F20" s="112"/>
      <c r="G20" s="124" t="s">
        <v>1556</v>
      </c>
      <c r="H20" s="111" t="str">
        <f t="shared" si="1"/>
        <v/>
      </c>
      <c r="I20" s="131"/>
      <c r="J20" s="1"/>
      <c r="K20" s="43"/>
      <c r="L20" s="48" t="str">
        <f t="shared" si="0"/>
        <v/>
      </c>
      <c r="M20" s="43"/>
      <c r="N20" s="43"/>
    </row>
    <row r="21" spans="2:14" ht="22.8" x14ac:dyDescent="0.2">
      <c r="B21" s="118" t="s">
        <v>874</v>
      </c>
      <c r="C21" s="115" t="s">
        <v>1155</v>
      </c>
      <c r="D21" s="115"/>
      <c r="E21" s="117"/>
      <c r="F21" s="112"/>
      <c r="G21" s="124" t="s">
        <v>1556</v>
      </c>
      <c r="H21" s="111" t="str">
        <f t="shared" si="1"/>
        <v/>
      </c>
      <c r="I21" s="131"/>
      <c r="J21" s="1"/>
      <c r="K21" s="43"/>
      <c r="L21" s="48" t="str">
        <f t="shared" si="0"/>
        <v/>
      </c>
      <c r="M21" s="43"/>
      <c r="N21" s="43"/>
    </row>
    <row r="22" spans="2:14" ht="13.2" x14ac:dyDescent="0.2">
      <c r="B22" s="118"/>
      <c r="C22" s="115"/>
      <c r="D22" s="115"/>
      <c r="E22" s="117"/>
      <c r="F22" s="112"/>
      <c r="G22" s="124" t="s">
        <v>1556</v>
      </c>
      <c r="H22" s="111" t="str">
        <f t="shared" si="1"/>
        <v/>
      </c>
      <c r="I22" s="131"/>
      <c r="J22" s="1"/>
      <c r="K22" s="43"/>
      <c r="L22" s="48" t="str">
        <f t="shared" si="0"/>
        <v/>
      </c>
      <c r="M22" s="43"/>
      <c r="N22" s="43"/>
    </row>
    <row r="23" spans="2:14" ht="13.2" x14ac:dyDescent="0.2">
      <c r="B23" s="118"/>
      <c r="C23" s="214" t="s">
        <v>1153</v>
      </c>
      <c r="D23" s="23" t="s">
        <v>1602</v>
      </c>
      <c r="E23" s="215" t="s">
        <v>33</v>
      </c>
      <c r="F23" s="112">
        <v>16</v>
      </c>
      <c r="G23" s="124">
        <v>4305</v>
      </c>
      <c r="H23" s="111">
        <f t="shared" si="1"/>
        <v>68880</v>
      </c>
      <c r="I23" s="131"/>
      <c r="J23" s="1"/>
      <c r="K23" s="447">
        <f>ROUND(3%*G23,0)</f>
        <v>129</v>
      </c>
      <c r="L23" s="48">
        <f t="shared" si="0"/>
        <v>2064</v>
      </c>
      <c r="M23" s="43"/>
      <c r="N23" s="43"/>
    </row>
    <row r="24" spans="2:14" ht="13.2" x14ac:dyDescent="0.2">
      <c r="B24" s="130"/>
      <c r="C24" s="115"/>
      <c r="D24" s="115"/>
      <c r="E24" s="114"/>
      <c r="F24" s="112"/>
      <c r="G24" s="124" t="s">
        <v>1556</v>
      </c>
      <c r="H24" s="111" t="str">
        <f t="shared" si="1"/>
        <v/>
      </c>
      <c r="I24" s="135"/>
      <c r="J24" s="1"/>
      <c r="K24" s="43"/>
      <c r="L24" s="48" t="str">
        <f t="shared" si="0"/>
        <v/>
      </c>
      <c r="M24" s="43"/>
      <c r="N24" s="43"/>
    </row>
    <row r="25" spans="2:14" ht="22.8" x14ac:dyDescent="0.2">
      <c r="B25" s="118" t="s">
        <v>873</v>
      </c>
      <c r="C25" s="120" t="s">
        <v>1156</v>
      </c>
      <c r="D25" s="165"/>
      <c r="E25" s="117"/>
      <c r="F25" s="112"/>
      <c r="G25" s="124" t="s">
        <v>1556</v>
      </c>
      <c r="H25" s="111" t="str">
        <f t="shared" si="1"/>
        <v/>
      </c>
      <c r="I25" s="132"/>
      <c r="J25" s="1"/>
      <c r="K25" s="43"/>
      <c r="L25" s="48" t="str">
        <f t="shared" si="0"/>
        <v/>
      </c>
      <c r="M25" s="43"/>
      <c r="N25" s="43"/>
    </row>
    <row r="26" spans="2:14" ht="13.2" x14ac:dyDescent="0.2">
      <c r="B26" s="118"/>
      <c r="C26" s="165"/>
      <c r="D26" s="165"/>
      <c r="E26" s="117"/>
      <c r="F26" s="112"/>
      <c r="G26" s="124" t="s">
        <v>1556</v>
      </c>
      <c r="H26" s="111"/>
      <c r="I26" s="132"/>
      <c r="J26" s="1"/>
      <c r="K26" s="43"/>
      <c r="L26" s="48" t="str">
        <f t="shared" si="0"/>
        <v/>
      </c>
      <c r="M26" s="43"/>
      <c r="N26" s="43"/>
    </row>
    <row r="27" spans="2:14" ht="13.2" x14ac:dyDescent="0.2">
      <c r="B27" s="118"/>
      <c r="C27" s="214" t="s">
        <v>1153</v>
      </c>
      <c r="D27" s="23" t="s">
        <v>1602</v>
      </c>
      <c r="E27" s="117" t="s">
        <v>33</v>
      </c>
      <c r="F27" s="112">
        <v>2</v>
      </c>
      <c r="G27" s="124">
        <v>4305</v>
      </c>
      <c r="H27" s="111">
        <f t="shared" ref="H27:H48" si="2">IF(E27="","",F27*G27)</f>
        <v>8610</v>
      </c>
      <c r="I27" s="132"/>
      <c r="J27" s="1"/>
      <c r="K27" s="447">
        <f>ROUND(3%*G27,0)</f>
        <v>129</v>
      </c>
      <c r="L27" s="48">
        <f t="shared" si="0"/>
        <v>258</v>
      </c>
      <c r="M27" s="43"/>
      <c r="N27" s="43"/>
    </row>
    <row r="28" spans="2:14" ht="13.2" x14ac:dyDescent="0.2">
      <c r="B28" s="130"/>
      <c r="C28" s="127"/>
      <c r="D28" s="491"/>
      <c r="E28" s="113"/>
      <c r="F28" s="112"/>
      <c r="G28" s="124" t="s">
        <v>1556</v>
      </c>
      <c r="H28" s="111" t="str">
        <f t="shared" si="2"/>
        <v/>
      </c>
      <c r="I28" s="132"/>
      <c r="J28" s="1"/>
      <c r="K28" s="43"/>
      <c r="L28" s="48" t="str">
        <f t="shared" si="0"/>
        <v/>
      </c>
      <c r="M28" s="43"/>
      <c r="N28" s="43"/>
    </row>
    <row r="29" spans="2:14" ht="22.8" x14ac:dyDescent="0.2">
      <c r="B29" s="118" t="s">
        <v>872</v>
      </c>
      <c r="C29" s="120" t="s">
        <v>1157</v>
      </c>
      <c r="D29" s="165"/>
      <c r="E29" s="117" t="s">
        <v>989</v>
      </c>
      <c r="F29" s="112">
        <v>150</v>
      </c>
      <c r="G29" s="124">
        <v>74</v>
      </c>
      <c r="H29" s="111">
        <f t="shared" si="2"/>
        <v>11100</v>
      </c>
      <c r="I29" s="134"/>
      <c r="J29" s="1"/>
      <c r="K29" s="447">
        <f>ROUND(10%*G29,0)</f>
        <v>7</v>
      </c>
      <c r="L29" s="48">
        <f t="shared" si="0"/>
        <v>1050</v>
      </c>
      <c r="M29" s="43"/>
      <c r="N29" s="43"/>
    </row>
    <row r="30" spans="2:14" ht="13.2" x14ac:dyDescent="0.2">
      <c r="B30" s="130"/>
      <c r="C30" s="115"/>
      <c r="D30" s="115"/>
      <c r="E30" s="114"/>
      <c r="F30" s="112"/>
      <c r="G30" s="124" t="s">
        <v>1556</v>
      </c>
      <c r="H30" s="111" t="str">
        <f t="shared" si="2"/>
        <v/>
      </c>
      <c r="I30" s="131"/>
      <c r="J30" s="1"/>
      <c r="K30" s="43"/>
      <c r="L30" s="48" t="str">
        <f t="shared" si="0"/>
        <v/>
      </c>
      <c r="M30" s="43"/>
      <c r="N30" s="43"/>
    </row>
    <row r="31" spans="2:14" ht="22.8" x14ac:dyDescent="0.2">
      <c r="B31" s="118" t="s">
        <v>871</v>
      </c>
      <c r="C31" s="115" t="s">
        <v>1158</v>
      </c>
      <c r="D31" s="115"/>
      <c r="E31" s="117" t="s">
        <v>989</v>
      </c>
      <c r="F31" s="112">
        <v>50</v>
      </c>
      <c r="G31" s="124">
        <v>74</v>
      </c>
      <c r="H31" s="111">
        <f t="shared" si="2"/>
        <v>3700</v>
      </c>
      <c r="I31" s="131"/>
      <c r="J31" s="1"/>
      <c r="K31" s="447">
        <f>ROUND(10%*G31,0)</f>
        <v>7</v>
      </c>
      <c r="L31" s="48">
        <f>IF(K31="","",K31*F31)</f>
        <v>350</v>
      </c>
      <c r="M31" s="43"/>
      <c r="N31" s="43"/>
    </row>
    <row r="32" spans="2:14" ht="13.2" x14ac:dyDescent="0.2">
      <c r="B32" s="130"/>
      <c r="C32" s="115"/>
      <c r="D32" s="115"/>
      <c r="E32" s="114"/>
      <c r="F32" s="112"/>
      <c r="G32" s="124" t="s">
        <v>1556</v>
      </c>
      <c r="H32" s="111" t="str">
        <f t="shared" si="2"/>
        <v/>
      </c>
      <c r="I32" s="131"/>
      <c r="J32" s="1"/>
      <c r="K32" s="43"/>
      <c r="L32" s="48" t="str">
        <f t="shared" si="0"/>
        <v/>
      </c>
      <c r="M32" s="43"/>
      <c r="N32" s="43"/>
    </row>
    <row r="33" spans="2:14" ht="34.200000000000003" x14ac:dyDescent="0.2">
      <c r="B33" s="118" t="s">
        <v>870</v>
      </c>
      <c r="C33" s="115" t="s">
        <v>1159</v>
      </c>
      <c r="D33" s="115"/>
      <c r="E33" s="117" t="s">
        <v>989</v>
      </c>
      <c r="F33" s="112">
        <v>500</v>
      </c>
      <c r="G33" s="124">
        <v>74</v>
      </c>
      <c r="H33" s="111">
        <f t="shared" si="2"/>
        <v>37000</v>
      </c>
      <c r="I33" s="131"/>
      <c r="J33" s="1"/>
      <c r="K33" s="447">
        <f>ROUND(10%*G33,0)</f>
        <v>7</v>
      </c>
      <c r="L33" s="48">
        <f>IF(K33="","",K33*F33)</f>
        <v>3500</v>
      </c>
      <c r="M33" s="43"/>
      <c r="N33" s="43"/>
    </row>
    <row r="34" spans="2:14" ht="13.2" x14ac:dyDescent="0.2">
      <c r="B34" s="130"/>
      <c r="C34" s="115"/>
      <c r="D34" s="115"/>
      <c r="E34" s="114"/>
      <c r="F34" s="114"/>
      <c r="G34" s="124" t="s">
        <v>1556</v>
      </c>
      <c r="H34" s="111" t="str">
        <f t="shared" si="2"/>
        <v/>
      </c>
      <c r="I34" s="131"/>
      <c r="J34" s="1"/>
      <c r="K34" s="43"/>
      <c r="L34" s="48" t="str">
        <f t="shared" si="0"/>
        <v/>
      </c>
      <c r="M34" s="43"/>
      <c r="N34" s="43"/>
    </row>
    <row r="35" spans="2:14" ht="13.2" x14ac:dyDescent="0.2">
      <c r="B35" s="118" t="s">
        <v>869</v>
      </c>
      <c r="C35" s="115" t="s">
        <v>868</v>
      </c>
      <c r="D35" s="115"/>
      <c r="E35" s="117"/>
      <c r="F35" s="114"/>
      <c r="G35" s="124" t="s">
        <v>1556</v>
      </c>
      <c r="H35" s="111" t="str">
        <f t="shared" si="2"/>
        <v/>
      </c>
      <c r="I35" s="131"/>
      <c r="J35" s="1"/>
      <c r="K35" s="43"/>
      <c r="L35" s="48" t="str">
        <f t="shared" si="0"/>
        <v/>
      </c>
      <c r="M35" s="43"/>
      <c r="N35" s="43"/>
    </row>
    <row r="36" spans="2:14" ht="13.2" x14ac:dyDescent="0.2">
      <c r="B36" s="130"/>
      <c r="C36" s="115"/>
      <c r="D36" s="115"/>
      <c r="E36" s="114"/>
      <c r="F36" s="114"/>
      <c r="G36" s="124" t="s">
        <v>1556</v>
      </c>
      <c r="H36" s="111" t="str">
        <f t="shared" si="2"/>
        <v/>
      </c>
      <c r="I36" s="131"/>
      <c r="J36" s="1"/>
      <c r="K36" s="43"/>
      <c r="L36" s="48" t="str">
        <f t="shared" si="0"/>
        <v/>
      </c>
      <c r="M36" s="43"/>
      <c r="N36" s="43"/>
    </row>
    <row r="37" spans="2:14" ht="13.2" x14ac:dyDescent="0.2">
      <c r="B37" s="118" t="s">
        <v>867</v>
      </c>
      <c r="C37" s="115" t="s">
        <v>866</v>
      </c>
      <c r="D37" s="115"/>
      <c r="E37" s="143" t="s">
        <v>658</v>
      </c>
      <c r="F37" s="114">
        <v>150</v>
      </c>
      <c r="G37" s="124">
        <v>53</v>
      </c>
      <c r="H37" s="111">
        <f t="shared" si="2"/>
        <v>7950</v>
      </c>
      <c r="I37" s="131"/>
      <c r="J37" s="1"/>
      <c r="K37" s="43"/>
      <c r="L37" s="48" t="str">
        <f t="shared" si="0"/>
        <v/>
      </c>
      <c r="M37" s="43"/>
      <c r="N37" s="43"/>
    </row>
    <row r="38" spans="2:14" ht="13.2" x14ac:dyDescent="0.2">
      <c r="B38" s="130"/>
      <c r="C38" s="115"/>
      <c r="D38" s="115"/>
      <c r="E38" s="114"/>
      <c r="F38" s="114"/>
      <c r="G38" s="124" t="s">
        <v>1556</v>
      </c>
      <c r="H38" s="111" t="str">
        <f t="shared" si="2"/>
        <v/>
      </c>
      <c r="I38" s="131"/>
      <c r="J38" s="1"/>
      <c r="K38" s="43"/>
      <c r="L38" s="48" t="str">
        <f t="shared" si="0"/>
        <v/>
      </c>
      <c r="M38" s="43"/>
      <c r="N38" s="43"/>
    </row>
    <row r="39" spans="2:14" ht="13.2" x14ac:dyDescent="0.2">
      <c r="B39" s="118" t="s">
        <v>865</v>
      </c>
      <c r="C39" s="115" t="s">
        <v>864</v>
      </c>
      <c r="D39" s="115"/>
      <c r="E39" s="143" t="s">
        <v>658</v>
      </c>
      <c r="F39" s="114">
        <v>150</v>
      </c>
      <c r="G39" s="124">
        <v>53</v>
      </c>
      <c r="H39" s="111">
        <f t="shared" si="2"/>
        <v>7950</v>
      </c>
      <c r="I39" s="131"/>
      <c r="J39" s="1"/>
      <c r="K39" s="43"/>
      <c r="L39" s="48" t="str">
        <f t="shared" si="0"/>
        <v/>
      </c>
      <c r="M39" s="43"/>
      <c r="N39" s="43"/>
    </row>
    <row r="40" spans="2:14" ht="13.2" x14ac:dyDescent="0.2">
      <c r="B40" s="130"/>
      <c r="C40" s="115"/>
      <c r="D40" s="115"/>
      <c r="E40" s="114"/>
      <c r="F40" s="114"/>
      <c r="G40" s="124" t="s">
        <v>1556</v>
      </c>
      <c r="H40" s="111" t="str">
        <f t="shared" si="2"/>
        <v/>
      </c>
      <c r="I40" s="131"/>
      <c r="J40" s="1"/>
      <c r="K40" s="43"/>
      <c r="L40" s="48" t="str">
        <f t="shared" si="0"/>
        <v/>
      </c>
      <c r="M40" s="43"/>
      <c r="N40" s="43"/>
    </row>
    <row r="41" spans="2:14" ht="13.2" x14ac:dyDescent="0.2">
      <c r="B41" s="118" t="s">
        <v>863</v>
      </c>
      <c r="C41" s="115" t="s">
        <v>862</v>
      </c>
      <c r="D41" s="115"/>
      <c r="E41" s="143" t="s">
        <v>658</v>
      </c>
      <c r="F41" s="113">
        <v>150</v>
      </c>
      <c r="G41" s="124">
        <v>53</v>
      </c>
      <c r="H41" s="111">
        <f t="shared" si="2"/>
        <v>7950</v>
      </c>
      <c r="I41" s="132"/>
      <c r="J41" s="1"/>
      <c r="K41" s="43"/>
      <c r="L41" s="48" t="str">
        <f t="shared" si="0"/>
        <v/>
      </c>
      <c r="M41" s="43"/>
      <c r="N41" s="43"/>
    </row>
    <row r="42" spans="2:14" ht="13.2" x14ac:dyDescent="0.2">
      <c r="B42" s="130"/>
      <c r="C42" s="115"/>
      <c r="D42" s="115"/>
      <c r="E42" s="114"/>
      <c r="F42" s="114"/>
      <c r="G42" s="124" t="s">
        <v>1556</v>
      </c>
      <c r="H42" s="111" t="str">
        <f t="shared" si="2"/>
        <v/>
      </c>
      <c r="I42" s="131"/>
      <c r="J42" s="1"/>
      <c r="K42" s="43"/>
      <c r="L42" s="48" t="str">
        <f t="shared" si="0"/>
        <v/>
      </c>
      <c r="M42" s="43"/>
      <c r="N42" s="43"/>
    </row>
    <row r="43" spans="2:14" ht="13.2" x14ac:dyDescent="0.2">
      <c r="B43" s="118" t="s">
        <v>861</v>
      </c>
      <c r="C43" s="115" t="s">
        <v>860</v>
      </c>
      <c r="D43" s="115"/>
      <c r="E43" s="117" t="s">
        <v>35</v>
      </c>
      <c r="F43" s="113">
        <v>300</v>
      </c>
      <c r="G43" s="124">
        <v>32</v>
      </c>
      <c r="H43" s="111">
        <f t="shared" si="2"/>
        <v>9600</v>
      </c>
      <c r="I43" s="133"/>
      <c r="J43" s="1"/>
      <c r="K43" s="43"/>
      <c r="L43" s="48" t="str">
        <f t="shared" si="0"/>
        <v/>
      </c>
      <c r="M43" s="43"/>
      <c r="N43" s="43"/>
    </row>
    <row r="44" spans="2:14" ht="13.2" x14ac:dyDescent="0.2">
      <c r="B44" s="130"/>
      <c r="C44" s="127"/>
      <c r="D44" s="491"/>
      <c r="E44" s="113"/>
      <c r="F44" s="113"/>
      <c r="G44" s="124" t="s">
        <v>1556</v>
      </c>
      <c r="H44" s="111" t="str">
        <f t="shared" si="2"/>
        <v/>
      </c>
      <c r="I44" s="132"/>
      <c r="J44" s="1"/>
      <c r="K44" s="43"/>
      <c r="L44" s="48" t="str">
        <f t="shared" si="0"/>
        <v/>
      </c>
      <c r="M44" s="43"/>
      <c r="N44" s="43"/>
    </row>
    <row r="45" spans="2:14" s="107" customFormat="1" ht="13.2" x14ac:dyDescent="0.2">
      <c r="B45" s="118" t="s">
        <v>859</v>
      </c>
      <c r="C45" s="120" t="s">
        <v>858</v>
      </c>
      <c r="D45" s="165"/>
      <c r="E45" s="113"/>
      <c r="F45" s="114"/>
      <c r="G45" s="119" t="s">
        <v>1556</v>
      </c>
      <c r="H45" s="111" t="str">
        <f t="shared" si="2"/>
        <v/>
      </c>
      <c r="J45" s="1"/>
      <c r="K45" s="43"/>
      <c r="L45" s="48" t="str">
        <f t="shared" si="0"/>
        <v/>
      </c>
      <c r="M45" s="43"/>
      <c r="N45" s="43"/>
    </row>
    <row r="46" spans="2:14" ht="13.2" x14ac:dyDescent="0.2">
      <c r="B46" s="130"/>
      <c r="C46" s="115"/>
      <c r="D46" s="115"/>
      <c r="E46" s="114"/>
      <c r="F46" s="114"/>
      <c r="G46" s="124" t="s">
        <v>1556</v>
      </c>
      <c r="H46" s="111" t="str">
        <f t="shared" si="2"/>
        <v/>
      </c>
      <c r="I46" s="131"/>
      <c r="J46" s="1"/>
      <c r="K46" s="43"/>
      <c r="L46" s="48" t="str">
        <f t="shared" si="0"/>
        <v/>
      </c>
      <c r="M46" s="43"/>
      <c r="N46" s="43"/>
    </row>
    <row r="47" spans="2:14" ht="13.2" x14ac:dyDescent="0.2">
      <c r="B47" s="129" t="s">
        <v>857</v>
      </c>
      <c r="C47" s="115" t="s">
        <v>1161</v>
      </c>
      <c r="D47" s="115"/>
      <c r="E47" s="117"/>
      <c r="F47" s="114"/>
      <c r="G47" s="124" t="s">
        <v>1556</v>
      </c>
      <c r="H47" s="111"/>
      <c r="I47" s="131"/>
      <c r="J47" s="1"/>
      <c r="K47" s="43"/>
      <c r="L47" s="48" t="str">
        <f t="shared" ref="L47:L64" si="3">IF(K47="","",K47*F47)</f>
        <v/>
      </c>
      <c r="M47" s="43"/>
      <c r="N47" s="43"/>
    </row>
    <row r="48" spans="2:14" ht="13.2" x14ac:dyDescent="0.2">
      <c r="B48" s="129"/>
      <c r="C48" s="115"/>
      <c r="D48" s="115"/>
      <c r="E48" s="117"/>
      <c r="F48" s="114"/>
      <c r="G48" s="124" t="s">
        <v>1556</v>
      </c>
      <c r="H48" s="111" t="str">
        <f t="shared" si="2"/>
        <v/>
      </c>
      <c r="I48" s="131"/>
      <c r="J48" s="1"/>
      <c r="K48" s="43"/>
      <c r="L48" s="48" t="str">
        <f t="shared" si="3"/>
        <v/>
      </c>
      <c r="M48" s="43"/>
      <c r="N48" s="43"/>
    </row>
    <row r="49" spans="2:14" ht="22.8" x14ac:dyDescent="0.2">
      <c r="B49" s="129"/>
      <c r="C49" s="115" t="s">
        <v>1160</v>
      </c>
      <c r="D49" s="115"/>
      <c r="E49" s="117" t="s">
        <v>44</v>
      </c>
      <c r="F49" s="117">
        <v>833</v>
      </c>
      <c r="G49" s="124">
        <v>95</v>
      </c>
      <c r="H49" s="111">
        <f>IF(E49="","",F49*G49)</f>
        <v>79135</v>
      </c>
      <c r="I49" s="131"/>
      <c r="J49" s="1"/>
      <c r="K49" s="447">
        <v>9</v>
      </c>
      <c r="L49" s="48">
        <f t="shared" si="3"/>
        <v>7497</v>
      </c>
      <c r="M49" s="43"/>
      <c r="N49" s="43"/>
    </row>
    <row r="50" spans="2:14" ht="13.2" x14ac:dyDescent="0.2">
      <c r="B50" s="129"/>
      <c r="C50" s="115"/>
      <c r="D50" s="115"/>
      <c r="E50" s="117"/>
      <c r="F50" s="114"/>
      <c r="G50" s="124" t="s">
        <v>1556</v>
      </c>
      <c r="H50" s="111" t="str">
        <f t="shared" ref="H50:H58" si="4">IF(E50="","",F50*G50)</f>
        <v/>
      </c>
      <c r="I50" s="131"/>
      <c r="J50" s="1"/>
      <c r="K50" s="43"/>
      <c r="L50" s="48" t="str">
        <f t="shared" si="3"/>
        <v/>
      </c>
      <c r="M50" s="43"/>
      <c r="N50" s="43"/>
    </row>
    <row r="51" spans="2:14" ht="22.8" x14ac:dyDescent="0.2">
      <c r="B51" s="129" t="s">
        <v>856</v>
      </c>
      <c r="C51" s="115" t="s">
        <v>855</v>
      </c>
      <c r="D51" s="115"/>
      <c r="E51" s="117" t="s">
        <v>44</v>
      </c>
      <c r="F51" s="114">
        <v>210</v>
      </c>
      <c r="G51" s="124">
        <v>42</v>
      </c>
      <c r="H51" s="111">
        <f t="shared" si="4"/>
        <v>8820</v>
      </c>
      <c r="I51" s="131"/>
      <c r="J51" s="1"/>
      <c r="K51" s="447">
        <v>9</v>
      </c>
      <c r="L51" s="48">
        <f t="shared" si="3"/>
        <v>1890</v>
      </c>
      <c r="M51" s="43"/>
      <c r="N51" s="43"/>
    </row>
    <row r="52" spans="2:14" ht="13.2" x14ac:dyDescent="0.2">
      <c r="B52" s="129"/>
      <c r="C52" s="115"/>
      <c r="D52" s="115"/>
      <c r="E52" s="117"/>
      <c r="F52" s="114"/>
      <c r="G52" s="124" t="s">
        <v>1556</v>
      </c>
      <c r="H52" s="111" t="str">
        <f t="shared" si="4"/>
        <v/>
      </c>
      <c r="I52" s="131"/>
      <c r="J52" s="1"/>
      <c r="K52" s="43"/>
      <c r="L52" s="48" t="str">
        <f t="shared" si="3"/>
        <v/>
      </c>
      <c r="M52" s="43"/>
      <c r="N52" s="43"/>
    </row>
    <row r="53" spans="2:14" ht="22.8" x14ac:dyDescent="0.2">
      <c r="B53" s="118" t="s">
        <v>854</v>
      </c>
      <c r="C53" s="115" t="s">
        <v>853</v>
      </c>
      <c r="D53" s="115"/>
      <c r="E53" s="117" t="s">
        <v>33</v>
      </c>
      <c r="F53" s="114">
        <v>23</v>
      </c>
      <c r="G53" s="124">
        <v>924</v>
      </c>
      <c r="H53" s="111">
        <f t="shared" si="4"/>
        <v>21252</v>
      </c>
      <c r="I53" s="131"/>
      <c r="J53" s="1"/>
      <c r="K53" s="459">
        <f>G53*10%</f>
        <v>92.4</v>
      </c>
      <c r="L53" s="48">
        <f t="shared" si="3"/>
        <v>2125.2000000000003</v>
      </c>
      <c r="M53" s="43"/>
      <c r="N53" s="43"/>
    </row>
    <row r="54" spans="2:14" ht="13.2" x14ac:dyDescent="0.2">
      <c r="B54" s="130"/>
      <c r="C54" s="115"/>
      <c r="D54" s="115"/>
      <c r="E54" s="114"/>
      <c r="F54" s="114"/>
      <c r="G54" s="124" t="s">
        <v>1556</v>
      </c>
      <c r="H54" s="111" t="str">
        <f t="shared" si="4"/>
        <v/>
      </c>
      <c r="I54" s="131"/>
      <c r="J54" s="1"/>
      <c r="K54" s="43"/>
      <c r="L54" s="48" t="str">
        <f t="shared" si="3"/>
        <v/>
      </c>
      <c r="M54" s="43"/>
      <c r="N54" s="43"/>
    </row>
    <row r="55" spans="2:14" ht="34.200000000000003" x14ac:dyDescent="0.2">
      <c r="B55" s="118" t="s">
        <v>852</v>
      </c>
      <c r="C55" s="115" t="s">
        <v>851</v>
      </c>
      <c r="D55" s="115"/>
      <c r="E55" s="117" t="s">
        <v>44</v>
      </c>
      <c r="F55" s="117">
        <v>1</v>
      </c>
      <c r="G55" s="124">
        <v>52500</v>
      </c>
      <c r="H55" s="111">
        <f t="shared" si="4"/>
        <v>52500</v>
      </c>
      <c r="I55" s="131"/>
      <c r="J55" s="1"/>
      <c r="K55" s="43"/>
      <c r="L55" s="48" t="str">
        <f t="shared" si="3"/>
        <v/>
      </c>
      <c r="M55" s="43"/>
      <c r="N55" s="43"/>
    </row>
    <row r="56" spans="2:14" ht="13.2" x14ac:dyDescent="0.2">
      <c r="B56" s="129"/>
      <c r="C56" s="115"/>
      <c r="D56" s="115"/>
      <c r="E56" s="117"/>
      <c r="F56" s="114"/>
      <c r="G56" s="124" t="s">
        <v>1556</v>
      </c>
      <c r="H56" s="111" t="str">
        <f t="shared" si="4"/>
        <v/>
      </c>
      <c r="I56" s="131"/>
      <c r="J56" s="1"/>
      <c r="K56" s="43"/>
      <c r="L56" s="48" t="str">
        <f t="shared" si="3"/>
        <v/>
      </c>
      <c r="M56" s="43"/>
      <c r="N56" s="43"/>
    </row>
    <row r="57" spans="2:14" s="107" customFormat="1" ht="13.2" x14ac:dyDescent="0.2">
      <c r="B57" s="118" t="s">
        <v>850</v>
      </c>
      <c r="C57" s="115" t="s">
        <v>849</v>
      </c>
      <c r="D57" s="115"/>
      <c r="E57" s="117"/>
      <c r="F57" s="112"/>
      <c r="G57" s="116" t="s">
        <v>1556</v>
      </c>
      <c r="H57" s="111"/>
      <c r="J57" s="1"/>
      <c r="K57" s="43"/>
      <c r="L57" s="48" t="str">
        <f t="shared" si="3"/>
        <v/>
      </c>
      <c r="M57" s="43"/>
      <c r="N57" s="43"/>
    </row>
    <row r="58" spans="2:14" ht="13.2" x14ac:dyDescent="0.2">
      <c r="B58" s="129"/>
      <c r="C58" s="115"/>
      <c r="D58" s="115"/>
      <c r="E58" s="117"/>
      <c r="F58" s="114"/>
      <c r="G58" s="124" t="s">
        <v>1556</v>
      </c>
      <c r="H58" s="111" t="str">
        <f t="shared" si="4"/>
        <v/>
      </c>
      <c r="I58" s="131"/>
      <c r="J58" s="1"/>
      <c r="K58" s="43"/>
      <c r="L58" s="48" t="str">
        <f t="shared" si="3"/>
        <v/>
      </c>
      <c r="M58" s="43"/>
      <c r="N58" s="43"/>
    </row>
    <row r="59" spans="2:14" s="107" customFormat="1" ht="13.2" x14ac:dyDescent="0.25">
      <c r="B59" s="130" t="s">
        <v>848</v>
      </c>
      <c r="C59" s="115" t="s">
        <v>847</v>
      </c>
      <c r="D59" s="115"/>
      <c r="E59" s="142" t="s">
        <v>817</v>
      </c>
      <c r="F59" s="114">
        <v>10</v>
      </c>
      <c r="G59" s="121">
        <v>210</v>
      </c>
      <c r="H59" s="111">
        <f>IF(E59="","",F59*G59)</f>
        <v>2100</v>
      </c>
      <c r="J59" s="1"/>
      <c r="K59" s="43"/>
      <c r="L59" s="48" t="str">
        <f t="shared" si="3"/>
        <v/>
      </c>
      <c r="M59" s="43"/>
      <c r="N59" s="43"/>
    </row>
    <row r="60" spans="2:14" ht="13.2" x14ac:dyDescent="0.2">
      <c r="B60" s="129"/>
      <c r="C60" s="115"/>
      <c r="D60" s="115"/>
      <c r="E60" s="117"/>
      <c r="F60" s="114"/>
      <c r="G60" s="124" t="s">
        <v>1556</v>
      </c>
      <c r="H60" s="111" t="str">
        <f>IF(E60="","",F60*G60)</f>
        <v/>
      </c>
      <c r="I60" s="131"/>
      <c r="J60" s="1"/>
      <c r="K60" s="43"/>
      <c r="L60" s="48" t="str">
        <f t="shared" si="3"/>
        <v/>
      </c>
      <c r="M60" s="43"/>
      <c r="N60" s="43"/>
    </row>
    <row r="61" spans="2:14" s="107" customFormat="1" ht="13.2" x14ac:dyDescent="0.25">
      <c r="B61" s="130" t="s">
        <v>846</v>
      </c>
      <c r="C61" s="115" t="s">
        <v>845</v>
      </c>
      <c r="D61" s="115"/>
      <c r="E61" s="142" t="s">
        <v>817</v>
      </c>
      <c r="F61" s="114">
        <v>10</v>
      </c>
      <c r="G61" s="119">
        <v>84</v>
      </c>
      <c r="H61" s="111">
        <f>IF(E61="","",F61*G61)</f>
        <v>840</v>
      </c>
      <c r="J61" s="1"/>
      <c r="K61" s="43"/>
      <c r="L61" s="48" t="str">
        <f t="shared" si="3"/>
        <v/>
      </c>
      <c r="M61" s="43"/>
      <c r="N61" s="43"/>
    </row>
    <row r="62" spans="2:14" ht="13.2" x14ac:dyDescent="0.2">
      <c r="B62" s="129"/>
      <c r="C62" s="115"/>
      <c r="D62" s="115"/>
      <c r="E62" s="117"/>
      <c r="F62" s="114"/>
      <c r="G62" s="124"/>
      <c r="H62" s="111"/>
      <c r="I62" s="131"/>
      <c r="K62" s="43"/>
      <c r="L62" s="48" t="str">
        <f t="shared" si="3"/>
        <v/>
      </c>
      <c r="M62" s="43"/>
      <c r="N62" s="43"/>
    </row>
    <row r="63" spans="2:14" ht="13.2" x14ac:dyDescent="0.2">
      <c r="B63" s="129"/>
      <c r="C63" s="115"/>
      <c r="D63" s="115"/>
      <c r="E63" s="117"/>
      <c r="F63" s="114"/>
      <c r="G63" s="124"/>
      <c r="H63" s="111"/>
      <c r="I63" s="131"/>
      <c r="K63" s="43"/>
      <c r="L63" s="48" t="str">
        <f t="shared" si="3"/>
        <v/>
      </c>
      <c r="M63" s="43"/>
      <c r="N63" s="43"/>
    </row>
    <row r="64" spans="2:14" ht="13.2" x14ac:dyDescent="0.2">
      <c r="B64" s="130"/>
      <c r="C64" s="115"/>
      <c r="D64" s="115"/>
      <c r="E64" s="114"/>
      <c r="F64" s="114"/>
      <c r="G64" s="119"/>
      <c r="H64" s="111" t="str">
        <f>IF(E64="","",F64*G64)</f>
        <v/>
      </c>
      <c r="I64" s="131"/>
      <c r="K64" s="43"/>
      <c r="L64" s="48" t="str">
        <f t="shared" si="3"/>
        <v/>
      </c>
      <c r="M64" s="43"/>
      <c r="N64" s="43"/>
    </row>
    <row r="65" spans="2:12" s="31" customFormat="1" ht="19.5" customHeight="1" x14ac:dyDescent="0.25">
      <c r="B65" s="151" t="str">
        <f>$B$11</f>
        <v>C11.7</v>
      </c>
      <c r="C65" s="33" t="s">
        <v>12</v>
      </c>
      <c r="D65" s="33"/>
      <c r="E65" s="34"/>
      <c r="F65" s="35"/>
      <c r="G65" s="34"/>
      <c r="H65" s="36">
        <f>SUM(H10:H64)</f>
        <v>370437</v>
      </c>
      <c r="I65" s="37"/>
      <c r="L65" s="36">
        <f>SUM(L10:L64)</f>
        <v>20028.2</v>
      </c>
    </row>
  </sheetData>
  <mergeCells count="4">
    <mergeCell ref="F2:H2"/>
    <mergeCell ref="H5:H8"/>
    <mergeCell ref="B5:G5"/>
    <mergeCell ref="B6:G8"/>
  </mergeCells>
  <printOptions horizontalCentered="1"/>
  <pageMargins left="0.43307086614173229" right="0.31496062992125984" top="0.43307086614173229" bottom="0.62992125984251968" header="0.35433070866141736" footer="0.31496062992125984"/>
  <pageSetup paperSize="9" scale="80" firstPageNumber="31" fitToHeight="0"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91A5F-0376-483C-9132-C999F6C86075}">
  <sheetPr codeName="Sheet88">
    <tabColor rgb="FF92D050"/>
  </sheetPr>
  <dimension ref="B1:N64"/>
  <sheetViews>
    <sheetView view="pageBreakPreview" zoomScaleNormal="125" zoomScaleSheetLayoutView="100" zoomScalePageLayoutView="125" workbookViewId="0">
      <selection activeCell="L25" sqref="L25"/>
    </sheetView>
  </sheetViews>
  <sheetFormatPr defaultColWidth="8.6640625" defaultRowHeight="11.4" x14ac:dyDescent="0.25"/>
  <cols>
    <col min="1" max="1" width="0.6640625" style="106" customWidth="1"/>
    <col min="2" max="2" width="11.5546875" style="110" customWidth="1"/>
    <col min="3" max="3" width="45.5546875" style="109" customWidth="1"/>
    <col min="4" max="4" width="3" style="109" customWidth="1"/>
    <col min="5" max="5" width="13.5546875" style="108" customWidth="1"/>
    <col min="6" max="6" width="15.5546875" style="108" customWidth="1"/>
    <col min="7" max="7" width="15.5546875" style="106" customWidth="1"/>
    <col min="8" max="8" width="15.5546875" style="107" customWidth="1"/>
    <col min="9" max="9" width="0.6640625" style="107" customWidth="1"/>
    <col min="10" max="11" width="8.6640625" style="106"/>
    <col min="12" max="12" width="11.6640625" style="106" bestFit="1" customWidth="1"/>
    <col min="13" max="16384" width="8.6640625" style="106"/>
  </cols>
  <sheetData>
    <row r="1" spans="2:14" ht="13.2" x14ac:dyDescent="0.25">
      <c r="H1" s="234">
        <f>MAX(H9:H427)</f>
        <v>1398300</v>
      </c>
    </row>
    <row r="2" spans="2:14" ht="12" x14ac:dyDescent="0.25">
      <c r="B2" s="140" t="str">
        <f>Client1</f>
        <v>Province of KwaZulu-Natal</v>
      </c>
      <c r="F2" s="617" t="str">
        <f>"Contract No. "&amp;ContractNo</f>
        <v>Contract No. ZNB02215/00000/00/HOD/INF/23/T</v>
      </c>
      <c r="G2" s="617"/>
      <c r="H2" s="617"/>
      <c r="K2" s="402"/>
      <c r="L2" s="402">
        <f>MAX(L3:L172)</f>
        <v>264529.5</v>
      </c>
      <c r="M2" s="402"/>
      <c r="N2" s="403"/>
    </row>
    <row r="3" spans="2:14" ht="13.2" x14ac:dyDescent="0.25">
      <c r="B3" s="139" t="str">
        <f>Client2</f>
        <v>Department of Transport</v>
      </c>
      <c r="K3" s="1" t="s">
        <v>1421</v>
      </c>
      <c r="L3" s="1" t="s">
        <v>1422</v>
      </c>
      <c r="M3" s="1" t="s">
        <v>1423</v>
      </c>
      <c r="N3" s="1" t="s">
        <v>1424</v>
      </c>
    </row>
    <row r="4" spans="2:14" ht="13.2" x14ac:dyDescent="0.25">
      <c r="B4" s="109"/>
      <c r="K4" s="86"/>
      <c r="L4" s="86"/>
      <c r="M4" s="86"/>
      <c r="N4" s="86"/>
    </row>
    <row r="5" spans="2:14" ht="12.75" customHeight="1" x14ac:dyDescent="0.25">
      <c r="B5" s="621" t="s">
        <v>8</v>
      </c>
      <c r="C5" s="622"/>
      <c r="D5" s="622"/>
      <c r="E5" s="622"/>
      <c r="F5" s="622"/>
      <c r="G5" s="622"/>
      <c r="H5" s="618" t="str">
        <f>"CHAPTER "&amp;B11</f>
        <v>CHAPTER C11.8</v>
      </c>
      <c r="I5" s="141"/>
      <c r="K5" s="1"/>
      <c r="L5" s="1"/>
      <c r="M5" s="1"/>
      <c r="N5" s="1"/>
    </row>
    <row r="6" spans="2:14" ht="7.5" customHeight="1" x14ac:dyDescent="0.25">
      <c r="B6" s="623" t="str">
        <f>ContractDescription</f>
        <v>UPGRADING OF MAIN ROAD P8/3 FROM GRAVEL TO BLACKTOP BETWEEN KM 17.560 AND KM 24.221 IN THE PIETERMARITZBURG REGION</v>
      </c>
      <c r="C6" s="624"/>
      <c r="D6" s="624"/>
      <c r="E6" s="624"/>
      <c r="F6" s="624"/>
      <c r="G6" s="624"/>
      <c r="H6" s="619"/>
      <c r="I6" s="138"/>
      <c r="K6" s="1"/>
      <c r="L6" s="1"/>
      <c r="M6" s="1"/>
      <c r="N6" s="1"/>
    </row>
    <row r="7" spans="2:14" ht="12.75" customHeight="1" x14ac:dyDescent="0.25">
      <c r="B7" s="623"/>
      <c r="C7" s="624"/>
      <c r="D7" s="624"/>
      <c r="E7" s="624"/>
      <c r="F7" s="624"/>
      <c r="G7" s="624"/>
      <c r="H7" s="619"/>
      <c r="I7" s="138"/>
      <c r="K7" s="1"/>
      <c r="L7" s="1"/>
      <c r="M7" s="1"/>
      <c r="N7" s="1"/>
    </row>
    <row r="8" spans="2:14" s="136" customFormat="1" ht="7.5" customHeight="1" x14ac:dyDescent="0.25">
      <c r="B8" s="625"/>
      <c r="C8" s="626"/>
      <c r="D8" s="626"/>
      <c r="E8" s="626"/>
      <c r="F8" s="626"/>
      <c r="G8" s="626"/>
      <c r="H8" s="620"/>
      <c r="I8" s="137"/>
      <c r="K8" s="1"/>
      <c r="L8" s="1"/>
      <c r="M8" s="1"/>
      <c r="N8" s="1"/>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ht="13.2" x14ac:dyDescent="0.25">
      <c r="B10" s="118"/>
      <c r="C10" s="115"/>
      <c r="D10" s="115"/>
      <c r="E10" s="114"/>
      <c r="F10" s="114"/>
      <c r="G10" s="121"/>
      <c r="H10" s="126"/>
      <c r="I10" s="131"/>
      <c r="K10" s="17"/>
      <c r="L10" s="17"/>
      <c r="M10" s="17"/>
      <c r="N10" s="17"/>
    </row>
    <row r="11" spans="2:14" ht="13.2" x14ac:dyDescent="0.2">
      <c r="B11" s="123" t="s">
        <v>915</v>
      </c>
      <c r="C11" s="122" t="s">
        <v>914</v>
      </c>
      <c r="D11" s="122"/>
      <c r="E11" s="114"/>
      <c r="F11" s="114"/>
      <c r="G11" s="121"/>
      <c r="H11" s="126" t="str">
        <f t="shared" ref="H11:H18" si="0">IF(E11="","",F11*G11)</f>
        <v/>
      </c>
      <c r="I11" s="131"/>
      <c r="K11" s="43"/>
      <c r="L11" s="43"/>
      <c r="M11" s="43"/>
      <c r="N11" s="43"/>
    </row>
    <row r="12" spans="2:14" ht="13.2" x14ac:dyDescent="0.2">
      <c r="B12" s="118"/>
      <c r="C12" s="115"/>
      <c r="D12" s="115"/>
      <c r="E12" s="114"/>
      <c r="F12" s="114"/>
      <c r="G12" s="121"/>
      <c r="H12" s="126" t="str">
        <f t="shared" si="0"/>
        <v/>
      </c>
      <c r="I12" s="131"/>
      <c r="K12" s="43"/>
      <c r="L12" s="43"/>
      <c r="M12" s="43"/>
      <c r="N12" s="43"/>
    </row>
    <row r="13" spans="2:14" ht="13.2" x14ac:dyDescent="0.2">
      <c r="B13" s="130" t="s">
        <v>913</v>
      </c>
      <c r="C13" s="115" t="s">
        <v>912</v>
      </c>
      <c r="D13" s="115"/>
      <c r="E13" s="114"/>
      <c r="F13" s="114"/>
      <c r="G13" s="121"/>
      <c r="H13" s="126" t="str">
        <f t="shared" si="0"/>
        <v/>
      </c>
      <c r="I13" s="131"/>
      <c r="K13" s="25"/>
      <c r="L13" s="48" t="str">
        <f t="shared" ref="L13:L46" si="1">IF(K13="","",K13*F13)</f>
        <v/>
      </c>
      <c r="M13" s="25"/>
      <c r="N13" s="25"/>
    </row>
    <row r="14" spans="2:14" ht="13.2" x14ac:dyDescent="0.2">
      <c r="B14" s="130"/>
      <c r="C14" s="115"/>
      <c r="D14" s="115"/>
      <c r="E14" s="114"/>
      <c r="F14" s="114"/>
      <c r="G14" s="121"/>
      <c r="H14" s="126" t="str">
        <f t="shared" si="0"/>
        <v/>
      </c>
      <c r="I14" s="131"/>
      <c r="K14" s="43"/>
      <c r="L14" s="48" t="str">
        <f t="shared" si="1"/>
        <v/>
      </c>
      <c r="M14" s="43"/>
      <c r="N14" s="43"/>
    </row>
    <row r="15" spans="2:14" ht="13.2" x14ac:dyDescent="0.2">
      <c r="B15" s="118" t="s">
        <v>911</v>
      </c>
      <c r="C15" s="115" t="s">
        <v>910</v>
      </c>
      <c r="D15" s="115"/>
      <c r="E15" s="117" t="s">
        <v>675</v>
      </c>
      <c r="F15" s="125">
        <v>3000</v>
      </c>
      <c r="G15" s="124">
        <v>6</v>
      </c>
      <c r="H15" s="111">
        <f t="shared" si="0"/>
        <v>18000</v>
      </c>
      <c r="I15" s="134"/>
      <c r="J15" s="1"/>
      <c r="K15" s="43">
        <f>G15*4%</f>
        <v>0.24</v>
      </c>
      <c r="L15" s="48">
        <f t="shared" si="1"/>
        <v>720</v>
      </c>
      <c r="M15" s="43"/>
      <c r="N15" s="43"/>
    </row>
    <row r="16" spans="2:14" ht="13.2" x14ac:dyDescent="0.2">
      <c r="B16" s="130"/>
      <c r="C16" s="115"/>
      <c r="D16" s="115"/>
      <c r="E16" s="114"/>
      <c r="F16" s="112"/>
      <c r="G16" s="121" t="s">
        <v>1556</v>
      </c>
      <c r="H16" s="111" t="str">
        <f t="shared" si="0"/>
        <v/>
      </c>
      <c r="I16" s="131"/>
      <c r="J16" s="1"/>
      <c r="K16" s="43"/>
      <c r="L16" s="48" t="str">
        <f t="shared" si="1"/>
        <v/>
      </c>
      <c r="M16" s="43"/>
      <c r="N16" s="43"/>
    </row>
    <row r="17" spans="2:14" ht="13.2" x14ac:dyDescent="0.2">
      <c r="B17" s="118" t="s">
        <v>909</v>
      </c>
      <c r="C17" s="115" t="s">
        <v>908</v>
      </c>
      <c r="D17" s="115"/>
      <c r="E17" s="117" t="s">
        <v>675</v>
      </c>
      <c r="F17" s="112">
        <v>5000</v>
      </c>
      <c r="G17" s="124">
        <v>11</v>
      </c>
      <c r="H17" s="111">
        <f t="shared" si="0"/>
        <v>55000</v>
      </c>
      <c r="I17" s="131"/>
      <c r="J17" s="1"/>
      <c r="K17" s="43">
        <v>1</v>
      </c>
      <c r="L17" s="48">
        <f t="shared" si="1"/>
        <v>5000</v>
      </c>
      <c r="M17" s="43"/>
      <c r="N17" s="43"/>
    </row>
    <row r="18" spans="2:14" ht="13.2" x14ac:dyDescent="0.2">
      <c r="B18" s="130"/>
      <c r="C18" s="115"/>
      <c r="D18" s="115"/>
      <c r="E18" s="114"/>
      <c r="F18" s="112"/>
      <c r="G18" s="121" t="s">
        <v>1556</v>
      </c>
      <c r="H18" s="111" t="str">
        <f t="shared" si="0"/>
        <v/>
      </c>
      <c r="I18" s="135"/>
      <c r="J18" s="1"/>
      <c r="K18" s="43"/>
      <c r="L18" s="48" t="str">
        <f t="shared" si="1"/>
        <v/>
      </c>
      <c r="M18" s="43"/>
      <c r="N18" s="43"/>
    </row>
    <row r="19" spans="2:14" ht="22.8" x14ac:dyDescent="0.2">
      <c r="B19" s="118" t="s">
        <v>907</v>
      </c>
      <c r="C19" s="115" t="s">
        <v>906</v>
      </c>
      <c r="D19" s="115"/>
      <c r="E19" s="117"/>
      <c r="F19" s="112"/>
      <c r="G19" s="116" t="s">
        <v>1556</v>
      </c>
      <c r="H19" s="111" t="str">
        <f t="shared" ref="H19:H31" si="2">IF(E19="","",F19*G19)</f>
        <v/>
      </c>
      <c r="I19" s="131"/>
      <c r="J19" s="1"/>
      <c r="K19" s="43"/>
      <c r="L19" s="48" t="str">
        <f t="shared" si="1"/>
        <v/>
      </c>
      <c r="M19" s="43"/>
      <c r="N19" s="43"/>
    </row>
    <row r="20" spans="2:14" ht="13.2" x14ac:dyDescent="0.2">
      <c r="B20" s="130"/>
      <c r="C20" s="115"/>
      <c r="D20" s="115"/>
      <c r="E20" s="114"/>
      <c r="F20" s="112"/>
      <c r="G20" s="128" t="s">
        <v>1556</v>
      </c>
      <c r="H20" s="111" t="str">
        <f t="shared" si="2"/>
        <v/>
      </c>
      <c r="I20" s="131"/>
      <c r="J20" s="1"/>
      <c r="K20" s="43"/>
      <c r="L20" s="48" t="str">
        <f t="shared" si="1"/>
        <v/>
      </c>
      <c r="M20" s="43"/>
      <c r="N20" s="43"/>
    </row>
    <row r="21" spans="2:14" ht="22.8" x14ac:dyDescent="0.2">
      <c r="B21" s="118" t="s">
        <v>49</v>
      </c>
      <c r="C21" s="115" t="s">
        <v>905</v>
      </c>
      <c r="D21" s="115"/>
      <c r="E21" s="117" t="s">
        <v>674</v>
      </c>
      <c r="F21" s="112">
        <v>1000</v>
      </c>
      <c r="G21" s="223">
        <v>105</v>
      </c>
      <c r="H21" s="111">
        <f t="shared" si="2"/>
        <v>105000</v>
      </c>
      <c r="I21" s="131"/>
      <c r="J21" s="1"/>
      <c r="K21" s="43">
        <f>_Spread</f>
        <v>5</v>
      </c>
      <c r="L21" s="48">
        <f t="shared" si="1"/>
        <v>5000</v>
      </c>
      <c r="M21" s="43"/>
      <c r="N21" s="43"/>
    </row>
    <row r="22" spans="2:14" ht="13.2" x14ac:dyDescent="0.2">
      <c r="B22" s="130"/>
      <c r="C22" s="115"/>
      <c r="D22" s="115"/>
      <c r="E22" s="114"/>
      <c r="F22" s="112"/>
      <c r="G22" s="128" t="s">
        <v>1556</v>
      </c>
      <c r="H22" s="111" t="str">
        <f t="shared" si="2"/>
        <v/>
      </c>
      <c r="I22" s="131"/>
      <c r="J22" s="1"/>
      <c r="K22" s="43"/>
      <c r="L22" s="48" t="str">
        <f t="shared" si="1"/>
        <v/>
      </c>
      <c r="M22" s="43"/>
      <c r="N22" s="43"/>
    </row>
    <row r="23" spans="2:14" ht="13.2" x14ac:dyDescent="0.2">
      <c r="B23" s="118" t="s">
        <v>51</v>
      </c>
      <c r="C23" s="120" t="s">
        <v>904</v>
      </c>
      <c r="D23" s="165"/>
      <c r="E23" s="117" t="s">
        <v>674</v>
      </c>
      <c r="F23" s="112">
        <v>2000</v>
      </c>
      <c r="G23" s="119">
        <v>263</v>
      </c>
      <c r="H23" s="111">
        <f t="shared" si="2"/>
        <v>526000</v>
      </c>
      <c r="I23" s="134"/>
      <c r="J23" s="1"/>
      <c r="K23" s="43">
        <f>_Spread</f>
        <v>5</v>
      </c>
      <c r="L23" s="48">
        <f t="shared" si="1"/>
        <v>10000</v>
      </c>
      <c r="M23" s="43"/>
      <c r="N23" s="43"/>
    </row>
    <row r="24" spans="2:14" ht="13.2" x14ac:dyDescent="0.2">
      <c r="B24" s="130"/>
      <c r="C24" s="115"/>
      <c r="D24" s="115"/>
      <c r="E24" s="114"/>
      <c r="F24" s="112"/>
      <c r="G24" s="119" t="s">
        <v>1556</v>
      </c>
      <c r="H24" s="111" t="str">
        <f t="shared" si="2"/>
        <v/>
      </c>
      <c r="I24" s="131"/>
      <c r="J24" s="1"/>
      <c r="K24" s="43"/>
      <c r="L24" s="48" t="str">
        <f t="shared" si="1"/>
        <v/>
      </c>
      <c r="M24" s="43"/>
      <c r="N24" s="43"/>
    </row>
    <row r="25" spans="2:14" ht="13.2" x14ac:dyDescent="0.2">
      <c r="B25" s="129" t="s">
        <v>903</v>
      </c>
      <c r="C25" s="115" t="s">
        <v>902</v>
      </c>
      <c r="D25" s="115"/>
      <c r="E25" s="117"/>
      <c r="F25" s="114"/>
      <c r="G25" s="119" t="s">
        <v>1556</v>
      </c>
      <c r="H25" s="111" t="str">
        <f t="shared" si="2"/>
        <v/>
      </c>
      <c r="I25" s="131"/>
      <c r="J25" s="1"/>
      <c r="K25" s="43"/>
      <c r="L25" s="48" t="str">
        <f t="shared" si="1"/>
        <v/>
      </c>
      <c r="M25" s="43"/>
      <c r="N25" s="43"/>
    </row>
    <row r="26" spans="2:14" ht="13.2" x14ac:dyDescent="0.2">
      <c r="B26" s="130"/>
      <c r="C26" s="115"/>
      <c r="D26" s="115"/>
      <c r="E26" s="114"/>
      <c r="F26" s="114"/>
      <c r="G26" s="119" t="s">
        <v>1556</v>
      </c>
      <c r="H26" s="111" t="str">
        <f t="shared" si="2"/>
        <v/>
      </c>
      <c r="I26" s="131"/>
      <c r="J26" s="1"/>
      <c r="K26" s="43"/>
      <c r="L26" s="48" t="str">
        <f t="shared" si="1"/>
        <v/>
      </c>
      <c r="M26" s="43"/>
      <c r="N26" s="43"/>
    </row>
    <row r="27" spans="2:14" ht="13.2" x14ac:dyDescent="0.2">
      <c r="B27" s="130" t="s">
        <v>901</v>
      </c>
      <c r="C27" s="115" t="s">
        <v>900</v>
      </c>
      <c r="D27" s="115"/>
      <c r="E27" s="117"/>
      <c r="F27" s="114"/>
      <c r="G27" s="119" t="s">
        <v>1556</v>
      </c>
      <c r="H27" s="126" t="str">
        <f t="shared" si="2"/>
        <v/>
      </c>
      <c r="J27" s="1"/>
      <c r="K27" s="43"/>
      <c r="L27" s="48" t="str">
        <f t="shared" si="1"/>
        <v/>
      </c>
      <c r="M27" s="43"/>
      <c r="N27" s="43"/>
    </row>
    <row r="28" spans="2:14" ht="13.2" x14ac:dyDescent="0.2">
      <c r="B28" s="130"/>
      <c r="C28" s="115"/>
      <c r="D28" s="115"/>
      <c r="E28" s="114"/>
      <c r="F28" s="112"/>
      <c r="G28" s="119" t="s">
        <v>1556</v>
      </c>
      <c r="H28" s="111" t="str">
        <f t="shared" si="2"/>
        <v/>
      </c>
      <c r="J28" s="1"/>
      <c r="K28" s="43"/>
      <c r="L28" s="48" t="str">
        <f t="shared" si="1"/>
        <v/>
      </c>
      <c r="M28" s="43"/>
      <c r="N28" s="43"/>
    </row>
    <row r="29" spans="2:14" ht="13.2" x14ac:dyDescent="0.2">
      <c r="B29" s="130" t="s">
        <v>51</v>
      </c>
      <c r="C29" s="115" t="s">
        <v>899</v>
      </c>
      <c r="D29" s="115"/>
      <c r="E29" s="117" t="s">
        <v>675</v>
      </c>
      <c r="F29" s="112">
        <v>500</v>
      </c>
      <c r="G29" s="119">
        <v>32</v>
      </c>
      <c r="H29" s="111">
        <f t="shared" si="2"/>
        <v>16000</v>
      </c>
      <c r="J29" s="1"/>
      <c r="K29" s="459">
        <f>G29*10%</f>
        <v>3.2</v>
      </c>
      <c r="L29" s="48">
        <f t="shared" si="1"/>
        <v>1600</v>
      </c>
      <c r="M29" s="43"/>
      <c r="N29" s="43"/>
    </row>
    <row r="30" spans="2:14" ht="13.2" x14ac:dyDescent="0.2">
      <c r="B30" s="130"/>
      <c r="C30" s="115"/>
      <c r="D30" s="115"/>
      <c r="E30" s="114"/>
      <c r="F30" s="112"/>
      <c r="G30" s="119" t="s">
        <v>1556</v>
      </c>
      <c r="H30" s="111" t="str">
        <f t="shared" si="2"/>
        <v/>
      </c>
      <c r="J30" s="1"/>
      <c r="K30" s="43"/>
      <c r="L30" s="48" t="str">
        <f t="shared" si="1"/>
        <v/>
      </c>
      <c r="M30" s="43"/>
      <c r="N30" s="43"/>
    </row>
    <row r="31" spans="2:14" ht="13.2" x14ac:dyDescent="0.2">
      <c r="B31" s="118" t="s">
        <v>898</v>
      </c>
      <c r="C31" s="120" t="s">
        <v>897</v>
      </c>
      <c r="D31" s="165"/>
      <c r="E31" s="117"/>
      <c r="F31" s="112"/>
      <c r="G31" s="119" t="s">
        <v>1556</v>
      </c>
      <c r="H31" s="111" t="str">
        <f t="shared" si="2"/>
        <v/>
      </c>
      <c r="J31" s="1"/>
      <c r="K31" s="43"/>
      <c r="L31" s="48" t="str">
        <f t="shared" si="1"/>
        <v/>
      </c>
      <c r="M31" s="43"/>
      <c r="N31" s="43"/>
    </row>
    <row r="32" spans="2:14" s="107" customFormat="1" ht="13.2" x14ac:dyDescent="0.2">
      <c r="B32" s="118"/>
      <c r="C32" s="115"/>
      <c r="D32" s="115"/>
      <c r="E32" s="117"/>
      <c r="F32" s="112"/>
      <c r="G32" s="119" t="s">
        <v>1556</v>
      </c>
      <c r="H32" s="111"/>
      <c r="J32" s="1"/>
      <c r="K32" s="43"/>
      <c r="L32" s="48" t="str">
        <f t="shared" si="1"/>
        <v/>
      </c>
      <c r="M32" s="43"/>
      <c r="N32" s="43"/>
    </row>
    <row r="33" spans="2:14" s="107" customFormat="1" ht="13.2" x14ac:dyDescent="0.2">
      <c r="B33" s="130" t="s">
        <v>65</v>
      </c>
      <c r="C33" s="115" t="s">
        <v>896</v>
      </c>
      <c r="D33" s="115"/>
      <c r="E33" s="117" t="s">
        <v>32</v>
      </c>
      <c r="F33" s="112">
        <v>3</v>
      </c>
      <c r="G33" s="119">
        <v>52500</v>
      </c>
      <c r="H33" s="111">
        <f t="shared" ref="H33:H63" si="3">IF(E33="","",F33*G33)</f>
        <v>157500</v>
      </c>
      <c r="J33" s="1"/>
      <c r="K33" s="459">
        <f>G33*5%</f>
        <v>2625</v>
      </c>
      <c r="L33" s="48">
        <f t="shared" si="1"/>
        <v>7875</v>
      </c>
      <c r="M33" s="43"/>
      <c r="N33" s="43"/>
    </row>
    <row r="34" spans="2:14" s="107" customFormat="1" ht="13.2" x14ac:dyDescent="0.2">
      <c r="B34" s="130"/>
      <c r="C34" s="115"/>
      <c r="D34" s="115"/>
      <c r="E34" s="114"/>
      <c r="F34" s="112"/>
      <c r="G34" s="119" t="s">
        <v>1556</v>
      </c>
      <c r="H34" s="111" t="str">
        <f t="shared" si="3"/>
        <v/>
      </c>
      <c r="J34" s="1"/>
      <c r="K34" s="43"/>
      <c r="L34" s="48" t="str">
        <f t="shared" si="1"/>
        <v/>
      </c>
      <c r="M34" s="43"/>
      <c r="N34" s="43"/>
    </row>
    <row r="35" spans="2:14" s="107" customFormat="1" ht="13.2" x14ac:dyDescent="0.2">
      <c r="B35" s="118" t="s">
        <v>895</v>
      </c>
      <c r="C35" s="115" t="s">
        <v>894</v>
      </c>
      <c r="D35" s="115"/>
      <c r="E35" s="117" t="s">
        <v>602</v>
      </c>
      <c r="F35" s="112">
        <v>100</v>
      </c>
      <c r="G35" s="119">
        <v>368</v>
      </c>
      <c r="H35" s="111">
        <f t="shared" si="3"/>
        <v>36800</v>
      </c>
      <c r="J35" s="1"/>
      <c r="K35" s="459">
        <f>G35*2%</f>
        <v>7.36</v>
      </c>
      <c r="L35" s="48">
        <f t="shared" si="1"/>
        <v>736</v>
      </c>
      <c r="M35" s="43"/>
      <c r="N35" s="43"/>
    </row>
    <row r="36" spans="2:14" s="107" customFormat="1" ht="13.2" x14ac:dyDescent="0.2">
      <c r="B36" s="130"/>
      <c r="C36" s="115"/>
      <c r="D36" s="115"/>
      <c r="E36" s="114"/>
      <c r="F36" s="112"/>
      <c r="G36" s="119" t="s">
        <v>1556</v>
      </c>
      <c r="H36" s="111" t="str">
        <f t="shared" si="3"/>
        <v/>
      </c>
      <c r="J36" s="1"/>
      <c r="K36" s="43"/>
      <c r="L36" s="48" t="str">
        <f t="shared" si="1"/>
        <v/>
      </c>
      <c r="M36" s="43"/>
      <c r="N36" s="43"/>
    </row>
    <row r="37" spans="2:14" s="107" customFormat="1" ht="22.8" x14ac:dyDescent="0.2">
      <c r="B37" s="118" t="s">
        <v>893</v>
      </c>
      <c r="C37" s="115" t="s">
        <v>892</v>
      </c>
      <c r="D37" s="115"/>
      <c r="E37" s="117" t="s">
        <v>602</v>
      </c>
      <c r="F37" s="112">
        <v>100</v>
      </c>
      <c r="G37" s="119">
        <v>368</v>
      </c>
      <c r="H37" s="111">
        <f t="shared" si="3"/>
        <v>36800</v>
      </c>
      <c r="J37" s="1"/>
      <c r="K37" s="459">
        <f>G37*2%</f>
        <v>7.36</v>
      </c>
      <c r="L37" s="48">
        <f t="shared" si="1"/>
        <v>736</v>
      </c>
      <c r="M37" s="43"/>
      <c r="N37" s="43"/>
    </row>
    <row r="38" spans="2:14" s="107" customFormat="1" ht="13.2" x14ac:dyDescent="0.2">
      <c r="B38" s="118"/>
      <c r="C38" s="115"/>
      <c r="D38" s="115"/>
      <c r="E38" s="117"/>
      <c r="F38" s="112"/>
      <c r="G38" s="119" t="s">
        <v>1556</v>
      </c>
      <c r="H38" s="111" t="str">
        <f t="shared" si="3"/>
        <v/>
      </c>
      <c r="J38" s="1"/>
      <c r="K38" s="43"/>
      <c r="L38" s="48" t="str">
        <f t="shared" si="1"/>
        <v/>
      </c>
      <c r="M38" s="43"/>
      <c r="N38" s="43"/>
    </row>
    <row r="39" spans="2:14" s="107" customFormat="1" ht="13.2" x14ac:dyDescent="0.2">
      <c r="B39" s="118" t="s">
        <v>891</v>
      </c>
      <c r="C39" s="115" t="s">
        <v>890</v>
      </c>
      <c r="D39" s="115"/>
      <c r="E39" s="117" t="s">
        <v>32</v>
      </c>
      <c r="F39" s="112">
        <v>88</v>
      </c>
      <c r="G39" s="119">
        <v>4515</v>
      </c>
      <c r="H39" s="111">
        <f t="shared" si="3"/>
        <v>397320</v>
      </c>
      <c r="J39" s="1"/>
      <c r="K39" s="43">
        <f>2500</f>
        <v>2500</v>
      </c>
      <c r="L39" s="48">
        <f t="shared" si="1"/>
        <v>220000</v>
      </c>
      <c r="M39" s="43"/>
      <c r="N39" s="43"/>
    </row>
    <row r="40" spans="2:14" s="107" customFormat="1" ht="13.2" x14ac:dyDescent="0.2">
      <c r="B40" s="118"/>
      <c r="C40" s="115"/>
      <c r="D40" s="115"/>
      <c r="E40" s="117"/>
      <c r="F40" s="112"/>
      <c r="G40" s="119" t="s">
        <v>1556</v>
      </c>
      <c r="H40" s="111" t="str">
        <f t="shared" si="3"/>
        <v/>
      </c>
      <c r="J40" s="1"/>
      <c r="K40" s="43"/>
      <c r="L40" s="48" t="str">
        <f t="shared" si="1"/>
        <v/>
      </c>
      <c r="M40" s="43"/>
      <c r="N40" s="43"/>
    </row>
    <row r="41" spans="2:14" s="107" customFormat="1" ht="13.2" x14ac:dyDescent="0.2">
      <c r="B41" s="129" t="s">
        <v>889</v>
      </c>
      <c r="C41" s="115" t="s">
        <v>888</v>
      </c>
      <c r="D41" s="115"/>
      <c r="E41" s="117"/>
      <c r="F41" s="112"/>
      <c r="G41" s="119" t="s">
        <v>1556</v>
      </c>
      <c r="H41" s="111" t="str">
        <f t="shared" si="3"/>
        <v/>
      </c>
      <c r="J41" s="1"/>
      <c r="K41" s="43"/>
      <c r="L41" s="48" t="str">
        <f t="shared" si="1"/>
        <v/>
      </c>
      <c r="M41" s="43"/>
      <c r="N41" s="43"/>
    </row>
    <row r="42" spans="2:14" s="107" customFormat="1" ht="13.2" x14ac:dyDescent="0.2">
      <c r="B42" s="130"/>
      <c r="C42" s="115"/>
      <c r="D42" s="115"/>
      <c r="E42" s="114"/>
      <c r="F42" s="112"/>
      <c r="G42" s="119" t="s">
        <v>1556</v>
      </c>
      <c r="H42" s="111" t="str">
        <f t="shared" si="3"/>
        <v/>
      </c>
      <c r="J42" s="1"/>
      <c r="K42" s="43"/>
      <c r="L42" s="48" t="str">
        <f t="shared" si="1"/>
        <v/>
      </c>
      <c r="M42" s="43"/>
      <c r="N42" s="43"/>
    </row>
    <row r="43" spans="2:14" s="107" customFormat="1" ht="13.2" x14ac:dyDescent="0.2">
      <c r="B43" s="118" t="s">
        <v>887</v>
      </c>
      <c r="C43" s="120" t="s">
        <v>886</v>
      </c>
      <c r="D43" s="165"/>
      <c r="E43" s="113"/>
      <c r="F43" s="112"/>
      <c r="G43" s="119" t="s">
        <v>1556</v>
      </c>
      <c r="H43" s="111" t="str">
        <f t="shared" si="3"/>
        <v/>
      </c>
      <c r="J43" s="1"/>
      <c r="K43" s="43"/>
      <c r="L43" s="48" t="str">
        <f t="shared" si="1"/>
        <v/>
      </c>
      <c r="M43" s="43"/>
      <c r="N43" s="43"/>
    </row>
    <row r="44" spans="2:14" s="107" customFormat="1" ht="13.2" x14ac:dyDescent="0.2">
      <c r="B44" s="130"/>
      <c r="C44" s="127"/>
      <c r="D44" s="491"/>
      <c r="E44" s="113"/>
      <c r="F44" s="112"/>
      <c r="G44" s="119" t="s">
        <v>1556</v>
      </c>
      <c r="H44" s="111" t="str">
        <f t="shared" si="3"/>
        <v/>
      </c>
      <c r="J44" s="1"/>
      <c r="K44" s="43"/>
      <c r="L44" s="48" t="str">
        <f t="shared" si="1"/>
        <v/>
      </c>
      <c r="M44" s="43"/>
      <c r="N44" s="43"/>
    </row>
    <row r="45" spans="2:14" s="107" customFormat="1" ht="13.2" x14ac:dyDescent="0.2">
      <c r="B45" s="130" t="s">
        <v>49</v>
      </c>
      <c r="C45" s="115" t="s">
        <v>1162</v>
      </c>
      <c r="D45" s="115"/>
      <c r="E45" s="117" t="s">
        <v>44</v>
      </c>
      <c r="F45" s="112">
        <v>10</v>
      </c>
      <c r="G45" s="119">
        <v>788</v>
      </c>
      <c r="H45" s="111">
        <f t="shared" si="3"/>
        <v>7880</v>
      </c>
      <c r="J45" s="1"/>
      <c r="K45" s="43"/>
      <c r="L45" s="48" t="str">
        <f t="shared" si="1"/>
        <v/>
      </c>
      <c r="M45" s="43"/>
      <c r="N45" s="43"/>
    </row>
    <row r="46" spans="2:14" s="107" customFormat="1" ht="13.2" x14ac:dyDescent="0.2">
      <c r="B46" s="130"/>
      <c r="C46" s="127"/>
      <c r="D46" s="491"/>
      <c r="E46" s="113"/>
      <c r="F46" s="112"/>
      <c r="G46" s="119" t="s">
        <v>1556</v>
      </c>
      <c r="H46" s="111" t="str">
        <f t="shared" si="3"/>
        <v/>
      </c>
      <c r="J46" s="1"/>
      <c r="K46" s="43"/>
      <c r="L46" s="48" t="str">
        <f t="shared" si="1"/>
        <v/>
      </c>
      <c r="M46" s="43"/>
      <c r="N46" s="43"/>
    </row>
    <row r="47" spans="2:14" s="107" customFormat="1" ht="13.2" x14ac:dyDescent="0.2">
      <c r="B47" s="118" t="s">
        <v>885</v>
      </c>
      <c r="C47" s="120" t="s">
        <v>884</v>
      </c>
      <c r="D47" s="165"/>
      <c r="E47" s="113"/>
      <c r="F47" s="112"/>
      <c r="G47" s="119" t="s">
        <v>1556</v>
      </c>
      <c r="H47" s="111" t="str">
        <f t="shared" si="3"/>
        <v/>
      </c>
      <c r="J47" s="1"/>
      <c r="K47" s="43"/>
      <c r="L47" s="48" t="str">
        <f t="shared" ref="L47:L63" si="4">IF(K47="","",K47*F47)</f>
        <v/>
      </c>
      <c r="M47" s="43"/>
      <c r="N47" s="43"/>
    </row>
    <row r="48" spans="2:14" s="107" customFormat="1" ht="13.2" x14ac:dyDescent="0.2">
      <c r="B48" s="130"/>
      <c r="C48" s="127"/>
      <c r="D48" s="491"/>
      <c r="E48" s="113"/>
      <c r="F48" s="112"/>
      <c r="G48" s="119" t="s">
        <v>1556</v>
      </c>
      <c r="H48" s="111" t="str">
        <f t="shared" si="3"/>
        <v/>
      </c>
      <c r="J48" s="1"/>
      <c r="K48" s="43"/>
      <c r="L48" s="48" t="str">
        <f t="shared" si="4"/>
        <v/>
      </c>
      <c r="M48" s="43"/>
      <c r="N48" s="43"/>
    </row>
    <row r="49" spans="2:14" s="107" customFormat="1" ht="13.2" x14ac:dyDescent="0.2">
      <c r="B49" s="130" t="s">
        <v>49</v>
      </c>
      <c r="C49" s="115" t="s">
        <v>883</v>
      </c>
      <c r="D49" s="115"/>
      <c r="E49" s="117" t="s">
        <v>44</v>
      </c>
      <c r="F49" s="112">
        <v>10</v>
      </c>
      <c r="G49" s="119">
        <v>1575</v>
      </c>
      <c r="H49" s="111">
        <f t="shared" si="3"/>
        <v>15750</v>
      </c>
      <c r="J49" s="1"/>
      <c r="K49" s="459">
        <f>G49*15%</f>
        <v>236.25</v>
      </c>
      <c r="L49" s="48">
        <f t="shared" si="4"/>
        <v>2362.5</v>
      </c>
      <c r="M49" s="43"/>
      <c r="N49" s="43"/>
    </row>
    <row r="50" spans="2:14" s="107" customFormat="1" ht="13.2" x14ac:dyDescent="0.2">
      <c r="B50" s="118"/>
      <c r="C50" s="115"/>
      <c r="D50" s="115"/>
      <c r="E50" s="114"/>
      <c r="F50" s="112"/>
      <c r="G50" s="119" t="s">
        <v>1556</v>
      </c>
      <c r="H50" s="111" t="str">
        <f t="shared" si="3"/>
        <v/>
      </c>
      <c r="J50" s="1"/>
      <c r="K50" s="43"/>
      <c r="L50" s="48" t="str">
        <f t="shared" si="4"/>
        <v/>
      </c>
      <c r="M50" s="43"/>
      <c r="N50" s="43"/>
    </row>
    <row r="51" spans="2:14" s="107" customFormat="1" ht="22.8" x14ac:dyDescent="0.2">
      <c r="B51" s="130" t="s">
        <v>882</v>
      </c>
      <c r="C51" s="115" t="s">
        <v>881</v>
      </c>
      <c r="D51" s="115"/>
      <c r="E51" s="117" t="s">
        <v>32</v>
      </c>
      <c r="F51" s="112">
        <v>5</v>
      </c>
      <c r="G51" s="119">
        <v>5250</v>
      </c>
      <c r="H51" s="111">
        <f t="shared" si="3"/>
        <v>26250</v>
      </c>
      <c r="J51" s="1"/>
      <c r="K51" s="459">
        <f>G51*40%</f>
        <v>2100</v>
      </c>
      <c r="L51" s="48">
        <f t="shared" si="4"/>
        <v>10500</v>
      </c>
      <c r="M51" s="43"/>
      <c r="N51" s="43"/>
    </row>
    <row r="52" spans="2:14" s="107" customFormat="1" ht="13.2" x14ac:dyDescent="0.2">
      <c r="B52" s="118"/>
      <c r="C52" s="115"/>
      <c r="D52" s="115"/>
      <c r="E52" s="117"/>
      <c r="F52" s="112"/>
      <c r="G52" s="119"/>
      <c r="H52" s="111" t="str">
        <f t="shared" si="3"/>
        <v/>
      </c>
      <c r="J52" s="1"/>
      <c r="K52" s="43"/>
      <c r="L52" s="48" t="str">
        <f t="shared" si="4"/>
        <v/>
      </c>
      <c r="M52" s="43"/>
      <c r="N52" s="43"/>
    </row>
    <row r="53" spans="2:14" s="107" customFormat="1" ht="13.2" x14ac:dyDescent="0.2">
      <c r="B53" s="118"/>
      <c r="C53" s="115"/>
      <c r="D53" s="115"/>
      <c r="E53" s="117"/>
      <c r="F53" s="112"/>
      <c r="G53" s="119"/>
      <c r="H53" s="111" t="str">
        <f t="shared" si="3"/>
        <v/>
      </c>
      <c r="J53" s="1"/>
      <c r="K53" s="43"/>
      <c r="L53" s="48" t="str">
        <f t="shared" si="4"/>
        <v/>
      </c>
      <c r="M53" s="43"/>
      <c r="N53" s="43"/>
    </row>
    <row r="54" spans="2:14" s="107" customFormat="1" ht="13.2" x14ac:dyDescent="0.2">
      <c r="B54" s="118"/>
      <c r="C54" s="115"/>
      <c r="D54" s="115"/>
      <c r="E54" s="117"/>
      <c r="F54" s="112"/>
      <c r="G54" s="119"/>
      <c r="H54" s="111" t="str">
        <f t="shared" si="3"/>
        <v/>
      </c>
      <c r="J54" s="1"/>
      <c r="K54" s="43"/>
      <c r="L54" s="48" t="str">
        <f t="shared" si="4"/>
        <v/>
      </c>
      <c r="M54" s="43"/>
      <c r="N54" s="43"/>
    </row>
    <row r="55" spans="2:14" s="107" customFormat="1" ht="13.2" x14ac:dyDescent="0.2">
      <c r="B55" s="118"/>
      <c r="C55" s="115"/>
      <c r="D55" s="115"/>
      <c r="E55" s="117"/>
      <c r="F55" s="112"/>
      <c r="G55" s="119"/>
      <c r="H55" s="111" t="str">
        <f t="shared" si="3"/>
        <v/>
      </c>
      <c r="J55" s="1"/>
      <c r="K55" s="43"/>
      <c r="L55" s="48" t="str">
        <f t="shared" si="4"/>
        <v/>
      </c>
      <c r="M55" s="43"/>
      <c r="N55" s="43"/>
    </row>
    <row r="56" spans="2:14" s="107" customFormat="1" ht="13.2" x14ac:dyDescent="0.2">
      <c r="B56" s="118"/>
      <c r="C56" s="115"/>
      <c r="D56" s="115"/>
      <c r="E56" s="117"/>
      <c r="F56" s="112"/>
      <c r="G56" s="119"/>
      <c r="H56" s="111" t="str">
        <f t="shared" si="3"/>
        <v/>
      </c>
      <c r="J56" s="1"/>
      <c r="K56" s="43"/>
      <c r="L56" s="48" t="str">
        <f t="shared" si="4"/>
        <v/>
      </c>
      <c r="M56" s="43"/>
      <c r="N56" s="43"/>
    </row>
    <row r="57" spans="2:14" s="107" customFormat="1" ht="13.2" x14ac:dyDescent="0.2">
      <c r="B57" s="118"/>
      <c r="C57" s="115"/>
      <c r="D57" s="115"/>
      <c r="E57" s="117"/>
      <c r="F57" s="112"/>
      <c r="G57" s="119"/>
      <c r="H57" s="111" t="str">
        <f t="shared" si="3"/>
        <v/>
      </c>
      <c r="J57" s="1"/>
      <c r="K57" s="43"/>
      <c r="L57" s="48" t="str">
        <f t="shared" si="4"/>
        <v/>
      </c>
      <c r="M57" s="43"/>
      <c r="N57" s="43"/>
    </row>
    <row r="58" spans="2:14" s="107" customFormat="1" ht="13.2" x14ac:dyDescent="0.2">
      <c r="B58" s="118"/>
      <c r="C58" s="115"/>
      <c r="D58" s="115"/>
      <c r="E58" s="117"/>
      <c r="F58" s="112"/>
      <c r="G58" s="119"/>
      <c r="H58" s="111" t="str">
        <f t="shared" si="3"/>
        <v/>
      </c>
      <c r="J58" s="1"/>
      <c r="K58" s="43"/>
      <c r="L58" s="48" t="str">
        <f t="shared" si="4"/>
        <v/>
      </c>
      <c r="M58" s="43"/>
      <c r="N58" s="43"/>
    </row>
    <row r="59" spans="2:14" s="107" customFormat="1" ht="13.2" x14ac:dyDescent="0.2">
      <c r="B59" s="130"/>
      <c r="C59" s="115"/>
      <c r="D59" s="115"/>
      <c r="E59" s="114"/>
      <c r="F59" s="112"/>
      <c r="G59" s="119"/>
      <c r="H59" s="111"/>
      <c r="J59" s="1"/>
      <c r="K59" s="43"/>
      <c r="L59" s="48" t="str">
        <f t="shared" si="4"/>
        <v/>
      </c>
      <c r="M59" s="43"/>
      <c r="N59" s="43"/>
    </row>
    <row r="60" spans="2:14" s="107" customFormat="1" ht="13.2" x14ac:dyDescent="0.2">
      <c r="B60" s="118"/>
      <c r="C60" s="115"/>
      <c r="D60" s="115"/>
      <c r="E60" s="117"/>
      <c r="F60" s="112"/>
      <c r="G60" s="119"/>
      <c r="H60" s="111"/>
      <c r="K60" s="43"/>
      <c r="L60" s="48" t="str">
        <f t="shared" si="4"/>
        <v/>
      </c>
      <c r="M60" s="43"/>
      <c r="N60" s="43"/>
    </row>
    <row r="61" spans="2:14" s="107" customFormat="1" ht="13.2" x14ac:dyDescent="0.2">
      <c r="B61" s="130"/>
      <c r="C61" s="115"/>
      <c r="D61" s="115"/>
      <c r="E61" s="114"/>
      <c r="F61" s="112"/>
      <c r="G61" s="119"/>
      <c r="H61" s="111"/>
      <c r="K61" s="43"/>
      <c r="L61" s="48" t="str">
        <f t="shared" si="4"/>
        <v/>
      </c>
      <c r="M61" s="43"/>
      <c r="N61" s="43"/>
    </row>
    <row r="62" spans="2:14" s="107" customFormat="1" ht="13.2" x14ac:dyDescent="0.2">
      <c r="B62" s="118"/>
      <c r="C62" s="115"/>
      <c r="D62" s="115"/>
      <c r="E62" s="117"/>
      <c r="F62" s="112"/>
      <c r="G62" s="119"/>
      <c r="H62" s="111"/>
      <c r="K62" s="43"/>
      <c r="L62" s="48" t="str">
        <f t="shared" si="4"/>
        <v/>
      </c>
      <c r="M62" s="43"/>
      <c r="N62" s="43"/>
    </row>
    <row r="63" spans="2:14" s="107" customFormat="1" ht="13.2" x14ac:dyDescent="0.2">
      <c r="B63" s="130"/>
      <c r="C63" s="115"/>
      <c r="D63" s="115"/>
      <c r="E63" s="114"/>
      <c r="F63" s="112"/>
      <c r="G63" s="119"/>
      <c r="H63" s="111" t="str">
        <f t="shared" si="3"/>
        <v/>
      </c>
      <c r="K63" s="43"/>
      <c r="L63" s="48" t="str">
        <f t="shared" si="4"/>
        <v/>
      </c>
      <c r="M63" s="43"/>
      <c r="N63" s="43"/>
    </row>
    <row r="64" spans="2:14" s="31" customFormat="1" ht="19.5" customHeight="1" x14ac:dyDescent="0.25">
      <c r="B64" s="151" t="str">
        <f>$B$11</f>
        <v>C11.8</v>
      </c>
      <c r="C64" s="33" t="s">
        <v>957</v>
      </c>
      <c r="D64" s="33"/>
      <c r="E64" s="34"/>
      <c r="F64" s="35"/>
      <c r="G64" s="34"/>
      <c r="H64" s="36">
        <f>SUM(H10:H63)</f>
        <v>1398300</v>
      </c>
      <c r="I64" s="37"/>
      <c r="K64" s="43"/>
      <c r="L64" s="36">
        <f>SUM(L10:L63)</f>
        <v>264529.5</v>
      </c>
      <c r="M64" s="43"/>
      <c r="N64" s="43"/>
    </row>
  </sheetData>
  <mergeCells count="4">
    <mergeCell ref="F2:H2"/>
    <mergeCell ref="H5:H8"/>
    <mergeCell ref="B5:G5"/>
    <mergeCell ref="B6:G8"/>
  </mergeCells>
  <printOptions horizontalCentered="1"/>
  <pageMargins left="0.43307086614173229" right="0.31496062992125984" top="0.43307086614173229" bottom="0.62992125984251968" header="0.35433070866141736" footer="0.31496062992125984"/>
  <pageSetup paperSize="9" scale="80"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D2F99-E8D8-42ED-BC4A-1BEA02A0A554}">
  <sheetPr codeName="Sheet89">
    <tabColor rgb="FF92D050"/>
  </sheetPr>
  <dimension ref="B1:N73"/>
  <sheetViews>
    <sheetView view="pageBreakPreview" zoomScaleNormal="125" zoomScaleSheetLayoutView="100" zoomScalePageLayoutView="125" workbookViewId="0">
      <selection activeCell="L25" sqref="L25"/>
    </sheetView>
  </sheetViews>
  <sheetFormatPr defaultColWidth="8.6640625" defaultRowHeight="13.2" x14ac:dyDescent="0.25"/>
  <cols>
    <col min="1" max="1" width="0.6640625" style="1" customWidth="1"/>
    <col min="2" max="2" width="11.5546875" style="38" customWidth="1"/>
    <col min="3" max="3" width="45.5546875" style="3" customWidth="1"/>
    <col min="4" max="4" width="4.10937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1" width="8.6640625" style="1"/>
    <col min="12" max="12" width="9.6640625" style="1" bestFit="1" customWidth="1"/>
    <col min="13" max="16384" width="8.6640625" style="1"/>
  </cols>
  <sheetData>
    <row r="1" spans="2:14" x14ac:dyDescent="0.25">
      <c r="H1" s="234">
        <f>MAX(H9:H500)</f>
        <v>83916</v>
      </c>
    </row>
    <row r="2" spans="2:14" x14ac:dyDescent="0.25">
      <c r="B2" s="2" t="str">
        <f>Client1</f>
        <v>Province of KwaZulu-Natal</v>
      </c>
      <c r="F2" s="510" t="str">
        <f>"Contract No. "&amp;ContractNo</f>
        <v>Contract No. ZNB02215/00000/00/HOD/INF/23/T</v>
      </c>
      <c r="G2" s="510"/>
      <c r="H2" s="510"/>
      <c r="K2" s="402"/>
      <c r="L2" s="402">
        <f>MAX(L3:L245)</f>
        <v>3356.64</v>
      </c>
      <c r="M2" s="402"/>
      <c r="N2" s="403"/>
    </row>
    <row r="3" spans="2:14" x14ac:dyDescent="0.25">
      <c r="B3" s="96" t="str">
        <f>Client2</f>
        <v>Department of Transport</v>
      </c>
      <c r="K3" s="1" t="s">
        <v>1421</v>
      </c>
      <c r="L3" s="1" t="s">
        <v>1422</v>
      </c>
      <c r="M3" s="1" t="s">
        <v>1423</v>
      </c>
      <c r="N3" s="1" t="s">
        <v>1424</v>
      </c>
    </row>
    <row r="4" spans="2:14" x14ac:dyDescent="0.25">
      <c r="B4" s="3"/>
      <c r="K4" s="86"/>
      <c r="L4" s="86"/>
      <c r="M4" s="86"/>
      <c r="N4" s="86"/>
    </row>
    <row r="5" spans="2:14" ht="12.75" customHeight="1" x14ac:dyDescent="0.25">
      <c r="B5" s="507" t="s">
        <v>880</v>
      </c>
      <c r="C5" s="508"/>
      <c r="D5" s="508"/>
      <c r="E5" s="508"/>
      <c r="F5" s="508"/>
      <c r="G5" s="508"/>
      <c r="H5" s="512" t="str">
        <f>"CHAPTER "&amp;B11</f>
        <v>CHAPTER C11.9</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13"/>
      <c r="I6" s="9"/>
    </row>
    <row r="7" spans="2:14" ht="12.75" customHeight="1" x14ac:dyDescent="0.25">
      <c r="B7" s="500"/>
      <c r="C7" s="501"/>
      <c r="D7" s="501"/>
      <c r="E7" s="501"/>
      <c r="F7" s="501"/>
      <c r="G7" s="501"/>
      <c r="H7" s="513"/>
      <c r="I7" s="9"/>
    </row>
    <row r="8" spans="2:14" s="10" customFormat="1" ht="7.5" customHeight="1" x14ac:dyDescent="0.25">
      <c r="B8" s="502"/>
      <c r="C8" s="503"/>
      <c r="D8" s="503"/>
      <c r="E8" s="503"/>
      <c r="F8" s="503"/>
      <c r="G8" s="503"/>
      <c r="H8" s="514"/>
      <c r="I8" s="13"/>
      <c r="K8" s="1"/>
      <c r="L8" s="1"/>
      <c r="M8" s="1"/>
      <c r="N8" s="1"/>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14"/>
      <c r="C10" s="15"/>
      <c r="D10" s="15"/>
      <c r="E10" s="16"/>
      <c r="F10" s="16"/>
      <c r="G10" s="17"/>
      <c r="H10" s="26" t="str">
        <f t="shared" ref="H10:H39" si="0">IF(E10="","",F10*G10)</f>
        <v/>
      </c>
      <c r="I10" s="19"/>
      <c r="K10" s="17"/>
      <c r="L10" s="17"/>
      <c r="M10" s="17"/>
      <c r="N10" s="17"/>
    </row>
    <row r="11" spans="2:14" ht="26.4" x14ac:dyDescent="0.25">
      <c r="B11" s="80" t="s">
        <v>921</v>
      </c>
      <c r="C11" s="21" t="s">
        <v>920</v>
      </c>
      <c r="D11" s="21"/>
      <c r="E11" s="16"/>
      <c r="F11" s="16"/>
      <c r="G11" s="17"/>
      <c r="H11" s="26" t="str">
        <f t="shared" si="0"/>
        <v/>
      </c>
      <c r="I11" s="19"/>
      <c r="K11" s="43"/>
      <c r="L11" s="43"/>
      <c r="M11" s="43"/>
      <c r="N11" s="43"/>
    </row>
    <row r="12" spans="2:14" x14ac:dyDescent="0.25">
      <c r="B12" s="53"/>
      <c r="C12" s="15"/>
      <c r="D12" s="15"/>
      <c r="E12" s="16"/>
      <c r="F12" s="16"/>
      <c r="G12" s="17"/>
      <c r="H12" s="26" t="str">
        <f t="shared" si="0"/>
        <v/>
      </c>
      <c r="I12" s="19"/>
      <c r="K12" s="43"/>
      <c r="L12" s="43"/>
      <c r="M12" s="43"/>
      <c r="N12" s="43"/>
    </row>
    <row r="13" spans="2:14" x14ac:dyDescent="0.25">
      <c r="B13" s="66" t="s">
        <v>919</v>
      </c>
      <c r="C13" s="15" t="s">
        <v>918</v>
      </c>
      <c r="D13" s="15"/>
      <c r="E13" s="16"/>
      <c r="F13" s="16"/>
      <c r="G13" s="17"/>
      <c r="H13" s="26" t="str">
        <f t="shared" si="0"/>
        <v/>
      </c>
      <c r="I13" s="19"/>
      <c r="K13" s="25"/>
      <c r="L13" s="48" t="str">
        <f t="shared" ref="L13:L46" si="1">IF(K13="","",K13*F13)</f>
        <v/>
      </c>
      <c r="M13" s="25"/>
      <c r="N13" s="25"/>
    </row>
    <row r="14" spans="2:14" x14ac:dyDescent="0.25">
      <c r="B14" s="66"/>
      <c r="C14" s="15"/>
      <c r="D14" s="15"/>
      <c r="E14" s="16"/>
      <c r="F14" s="27"/>
      <c r="G14" s="17"/>
      <c r="H14" s="26" t="str">
        <f t="shared" si="0"/>
        <v/>
      </c>
      <c r="I14" s="19"/>
      <c r="K14" s="43"/>
      <c r="L14" s="48" t="str">
        <f t="shared" si="1"/>
        <v/>
      </c>
      <c r="M14" s="43"/>
      <c r="N14" s="43"/>
    </row>
    <row r="15" spans="2:14" x14ac:dyDescent="0.25">
      <c r="B15" s="53" t="s">
        <v>917</v>
      </c>
      <c r="C15" s="15" t="s">
        <v>916</v>
      </c>
      <c r="D15" s="15"/>
      <c r="E15" s="23" t="s">
        <v>33</v>
      </c>
      <c r="F15" s="224">
        <v>6.66</v>
      </c>
      <c r="G15" s="213">
        <v>12600</v>
      </c>
      <c r="H15" s="26">
        <f t="shared" si="0"/>
        <v>83916</v>
      </c>
      <c r="I15" s="19"/>
      <c r="K15" s="43">
        <f>G15*4%</f>
        <v>504</v>
      </c>
      <c r="L15" s="48">
        <f t="shared" si="1"/>
        <v>3356.64</v>
      </c>
      <c r="M15" s="43"/>
      <c r="N15" s="43"/>
    </row>
    <row r="16" spans="2:14" x14ac:dyDescent="0.25">
      <c r="B16" s="66"/>
      <c r="C16" s="15"/>
      <c r="D16" s="15"/>
      <c r="E16" s="16"/>
      <c r="F16" s="27"/>
      <c r="G16" s="17"/>
      <c r="H16" s="26"/>
      <c r="I16" s="68"/>
      <c r="K16" s="43"/>
      <c r="L16" s="48" t="str">
        <f t="shared" si="1"/>
        <v/>
      </c>
      <c r="M16" s="43"/>
      <c r="N16" s="43"/>
    </row>
    <row r="17" spans="2:14" x14ac:dyDescent="0.25">
      <c r="B17" s="53"/>
      <c r="C17" s="29"/>
      <c r="D17" s="147"/>
      <c r="E17" s="23"/>
      <c r="F17" s="27"/>
      <c r="G17" s="70"/>
      <c r="H17" s="26"/>
      <c r="I17" s="71"/>
      <c r="K17" s="43"/>
      <c r="L17" s="48" t="str">
        <f t="shared" si="1"/>
        <v/>
      </c>
      <c r="M17" s="43"/>
      <c r="N17" s="43"/>
    </row>
    <row r="18" spans="2:14" x14ac:dyDescent="0.25">
      <c r="B18" s="66"/>
      <c r="C18" s="28"/>
      <c r="D18" s="146"/>
      <c r="E18" s="69"/>
      <c r="F18" s="27"/>
      <c r="G18" s="70"/>
      <c r="H18" s="26"/>
      <c r="I18" s="71"/>
      <c r="K18" s="43"/>
      <c r="L18" s="48" t="str">
        <f t="shared" si="1"/>
        <v/>
      </c>
      <c r="M18" s="43"/>
      <c r="N18" s="43"/>
    </row>
    <row r="19" spans="2:14" x14ac:dyDescent="0.25">
      <c r="B19" s="53"/>
      <c r="C19" s="15"/>
      <c r="D19" s="15"/>
      <c r="E19" s="23"/>
      <c r="F19" s="27"/>
      <c r="G19" s="72"/>
      <c r="H19" s="26"/>
      <c r="I19" s="71"/>
      <c r="K19" s="43"/>
      <c r="L19" s="48" t="str">
        <f t="shared" si="1"/>
        <v/>
      </c>
      <c r="M19" s="43"/>
      <c r="N19" s="43"/>
    </row>
    <row r="20" spans="2:14" x14ac:dyDescent="0.25">
      <c r="B20" s="66"/>
      <c r="C20" s="28"/>
      <c r="D20" s="146"/>
      <c r="E20" s="69"/>
      <c r="F20" s="27"/>
      <c r="G20" s="70"/>
      <c r="H20" s="26"/>
      <c r="I20" s="71"/>
      <c r="K20" s="43"/>
      <c r="L20" s="48" t="str">
        <f t="shared" si="1"/>
        <v/>
      </c>
      <c r="M20" s="43"/>
      <c r="N20" s="43"/>
    </row>
    <row r="21" spans="2:14" x14ac:dyDescent="0.25">
      <c r="B21" s="53"/>
      <c r="C21" s="15"/>
      <c r="D21" s="15"/>
      <c r="E21" s="23"/>
      <c r="F21" s="27"/>
      <c r="G21" s="67"/>
      <c r="H21" s="26"/>
      <c r="I21" s="71"/>
      <c r="K21" s="43"/>
      <c r="L21" s="48" t="str">
        <f t="shared" si="1"/>
        <v/>
      </c>
      <c r="M21" s="43"/>
      <c r="N21" s="43"/>
    </row>
    <row r="22" spans="2:14" x14ac:dyDescent="0.25">
      <c r="B22" s="53"/>
      <c r="C22" s="15"/>
      <c r="D22" s="15"/>
      <c r="E22" s="23"/>
      <c r="F22" s="27"/>
      <c r="G22" s="67"/>
      <c r="H22" s="26"/>
      <c r="I22" s="71"/>
      <c r="K22" s="43"/>
      <c r="L22" s="48" t="str">
        <f t="shared" si="1"/>
        <v/>
      </c>
      <c r="M22" s="43"/>
      <c r="N22" s="43"/>
    </row>
    <row r="23" spans="2:14" x14ac:dyDescent="0.25">
      <c r="B23" s="53"/>
      <c r="C23" s="15"/>
      <c r="D23" s="15"/>
      <c r="E23" s="23"/>
      <c r="F23" s="27"/>
      <c r="G23" s="67"/>
      <c r="H23" s="26" t="str">
        <f t="shared" si="0"/>
        <v/>
      </c>
      <c r="I23" s="71"/>
      <c r="K23" s="43"/>
      <c r="L23" s="48" t="str">
        <f t="shared" si="1"/>
        <v/>
      </c>
      <c r="M23" s="43"/>
      <c r="N23" s="43"/>
    </row>
    <row r="24" spans="2:14" x14ac:dyDescent="0.25">
      <c r="B24" s="53"/>
      <c r="C24" s="15"/>
      <c r="D24" s="15"/>
      <c r="E24" s="23"/>
      <c r="F24" s="27"/>
      <c r="G24" s="67"/>
      <c r="H24" s="26" t="str">
        <f t="shared" si="0"/>
        <v/>
      </c>
      <c r="I24" s="71"/>
      <c r="K24" s="43"/>
      <c r="L24" s="48" t="str">
        <f t="shared" si="1"/>
        <v/>
      </c>
      <c r="M24" s="43"/>
      <c r="N24" s="43"/>
    </row>
    <row r="25" spans="2:14" x14ac:dyDescent="0.25">
      <c r="B25" s="53"/>
      <c r="C25" s="15"/>
      <c r="D25" s="15"/>
      <c r="E25" s="23"/>
      <c r="F25" s="27"/>
      <c r="G25" s="67"/>
      <c r="H25" s="26" t="str">
        <f t="shared" si="0"/>
        <v/>
      </c>
      <c r="I25" s="71"/>
      <c r="K25" s="43">
        <f>G25*3%</f>
        <v>0</v>
      </c>
      <c r="L25" s="48">
        <f t="shared" si="1"/>
        <v>0</v>
      </c>
      <c r="M25" s="43"/>
      <c r="N25" s="43"/>
    </row>
    <row r="26" spans="2:14" x14ac:dyDescent="0.25">
      <c r="B26" s="53"/>
      <c r="C26" s="15"/>
      <c r="D26" s="15"/>
      <c r="E26" s="23"/>
      <c r="F26" s="27"/>
      <c r="G26" s="67"/>
      <c r="H26" s="26" t="str">
        <f t="shared" si="0"/>
        <v/>
      </c>
      <c r="I26" s="71"/>
      <c r="K26" s="43"/>
      <c r="L26" s="48" t="str">
        <f t="shared" si="1"/>
        <v/>
      </c>
      <c r="M26" s="43"/>
      <c r="N26" s="43"/>
    </row>
    <row r="27" spans="2:14" x14ac:dyDescent="0.25">
      <c r="B27" s="53"/>
      <c r="C27" s="15"/>
      <c r="D27" s="15"/>
      <c r="E27" s="23"/>
      <c r="F27" s="27"/>
      <c r="G27" s="67"/>
      <c r="H27" s="26" t="str">
        <f t="shared" si="0"/>
        <v/>
      </c>
      <c r="I27" s="71"/>
      <c r="K27" s="43"/>
      <c r="L27" s="48" t="str">
        <f t="shared" si="1"/>
        <v/>
      </c>
      <c r="M27" s="43"/>
      <c r="N27" s="43"/>
    </row>
    <row r="28" spans="2:14" x14ac:dyDescent="0.25">
      <c r="B28" s="53"/>
      <c r="C28" s="15"/>
      <c r="D28" s="15"/>
      <c r="E28" s="23"/>
      <c r="F28" s="27"/>
      <c r="G28" s="67"/>
      <c r="H28" s="26" t="str">
        <f t="shared" si="0"/>
        <v/>
      </c>
      <c r="I28" s="71"/>
      <c r="K28" s="43"/>
      <c r="L28" s="48" t="str">
        <f t="shared" si="1"/>
        <v/>
      </c>
      <c r="M28" s="43"/>
      <c r="N28" s="43"/>
    </row>
    <row r="29" spans="2:14" x14ac:dyDescent="0.25">
      <c r="B29" s="53"/>
      <c r="C29" s="15"/>
      <c r="D29" s="15"/>
      <c r="E29" s="23"/>
      <c r="F29" s="27"/>
      <c r="G29" s="67"/>
      <c r="H29" s="26" t="str">
        <f t="shared" si="0"/>
        <v/>
      </c>
      <c r="I29" s="71"/>
      <c r="K29" s="43"/>
      <c r="L29" s="48" t="str">
        <f t="shared" si="1"/>
        <v/>
      </c>
      <c r="M29" s="43"/>
      <c r="N29" s="43"/>
    </row>
    <row r="30" spans="2:14" x14ac:dyDescent="0.25">
      <c r="B30" s="53"/>
      <c r="C30" s="15"/>
      <c r="D30" s="15"/>
      <c r="E30" s="23"/>
      <c r="F30" s="27"/>
      <c r="G30" s="67"/>
      <c r="H30" s="26" t="str">
        <f t="shared" si="0"/>
        <v/>
      </c>
      <c r="I30" s="71"/>
      <c r="K30" s="43"/>
      <c r="L30" s="48" t="str">
        <f t="shared" si="1"/>
        <v/>
      </c>
      <c r="M30" s="43"/>
      <c r="N30" s="43"/>
    </row>
    <row r="31" spans="2:14" x14ac:dyDescent="0.25">
      <c r="B31" s="53"/>
      <c r="C31" s="15"/>
      <c r="D31" s="15"/>
      <c r="E31" s="23"/>
      <c r="F31" s="27"/>
      <c r="G31" s="67"/>
      <c r="H31" s="26" t="str">
        <f t="shared" si="0"/>
        <v/>
      </c>
      <c r="I31" s="71"/>
      <c r="K31" s="43">
        <f>G31*3%</f>
        <v>0</v>
      </c>
      <c r="L31" s="48">
        <f t="shared" si="1"/>
        <v>0</v>
      </c>
      <c r="M31" s="43"/>
      <c r="N31" s="43"/>
    </row>
    <row r="32" spans="2:14" x14ac:dyDescent="0.25">
      <c r="B32" s="53"/>
      <c r="C32" s="15"/>
      <c r="D32" s="15"/>
      <c r="E32" s="23"/>
      <c r="F32" s="27"/>
      <c r="G32" s="67"/>
      <c r="H32" s="26" t="str">
        <f t="shared" si="0"/>
        <v/>
      </c>
      <c r="I32" s="71"/>
      <c r="K32" s="43"/>
      <c r="L32" s="48" t="str">
        <f t="shared" si="1"/>
        <v/>
      </c>
      <c r="M32" s="43"/>
      <c r="N32" s="43"/>
    </row>
    <row r="33" spans="2:14" x14ac:dyDescent="0.25">
      <c r="B33" s="53"/>
      <c r="C33" s="15"/>
      <c r="D33" s="15"/>
      <c r="E33" s="23"/>
      <c r="F33" s="27"/>
      <c r="G33" s="67"/>
      <c r="H33" s="26" t="str">
        <f t="shared" si="0"/>
        <v/>
      </c>
      <c r="I33" s="71"/>
      <c r="K33" s="43">
        <f>G33*3%</f>
        <v>0</v>
      </c>
      <c r="L33" s="48">
        <f t="shared" si="1"/>
        <v>0</v>
      </c>
      <c r="M33" s="43"/>
      <c r="N33" s="43"/>
    </row>
    <row r="34" spans="2:14" x14ac:dyDescent="0.25">
      <c r="B34" s="53"/>
      <c r="C34" s="15"/>
      <c r="D34" s="15"/>
      <c r="E34" s="23"/>
      <c r="F34" s="27"/>
      <c r="G34" s="67"/>
      <c r="H34" s="26" t="str">
        <f t="shared" si="0"/>
        <v/>
      </c>
      <c r="I34" s="71"/>
      <c r="K34" s="43"/>
      <c r="L34" s="48" t="str">
        <f t="shared" si="1"/>
        <v/>
      </c>
      <c r="M34" s="43"/>
      <c r="N34" s="43"/>
    </row>
    <row r="35" spans="2:14" x14ac:dyDescent="0.25">
      <c r="B35" s="53"/>
      <c r="C35" s="15"/>
      <c r="D35" s="15"/>
      <c r="E35" s="23"/>
      <c r="F35" s="27"/>
      <c r="G35" s="67"/>
      <c r="H35" s="26" t="str">
        <f t="shared" si="0"/>
        <v/>
      </c>
      <c r="I35" s="71"/>
      <c r="K35" s="43"/>
      <c r="L35" s="48" t="str">
        <f t="shared" si="1"/>
        <v/>
      </c>
      <c r="M35" s="43"/>
      <c r="N35" s="43"/>
    </row>
    <row r="36" spans="2:14" x14ac:dyDescent="0.25">
      <c r="B36" s="53"/>
      <c r="C36" s="15"/>
      <c r="D36" s="15"/>
      <c r="E36" s="23"/>
      <c r="F36" s="27"/>
      <c r="G36" s="67"/>
      <c r="H36" s="26" t="str">
        <f t="shared" si="0"/>
        <v/>
      </c>
      <c r="I36" s="71"/>
      <c r="K36" s="43"/>
      <c r="L36" s="48" t="str">
        <f t="shared" si="1"/>
        <v/>
      </c>
      <c r="M36" s="43"/>
      <c r="N36" s="43"/>
    </row>
    <row r="37" spans="2:14" x14ac:dyDescent="0.25">
      <c r="B37" s="53"/>
      <c r="C37" s="15"/>
      <c r="D37" s="15"/>
      <c r="E37" s="23"/>
      <c r="F37" s="27"/>
      <c r="G37" s="67"/>
      <c r="H37" s="26" t="str">
        <f t="shared" si="0"/>
        <v/>
      </c>
      <c r="I37" s="71"/>
      <c r="K37" s="43"/>
      <c r="L37" s="48" t="str">
        <f t="shared" si="1"/>
        <v/>
      </c>
      <c r="M37" s="43"/>
      <c r="N37" s="43"/>
    </row>
    <row r="38" spans="2:14" x14ac:dyDescent="0.25">
      <c r="B38" s="53"/>
      <c r="C38" s="15"/>
      <c r="D38" s="15"/>
      <c r="E38" s="23"/>
      <c r="F38" s="27"/>
      <c r="G38" s="67"/>
      <c r="H38" s="26" t="str">
        <f t="shared" si="0"/>
        <v/>
      </c>
      <c r="I38" s="71"/>
      <c r="K38" s="43"/>
      <c r="L38" s="48" t="str">
        <f t="shared" si="1"/>
        <v/>
      </c>
      <c r="M38" s="43"/>
      <c r="N38" s="43"/>
    </row>
    <row r="39" spans="2:14" x14ac:dyDescent="0.25">
      <c r="B39" s="53"/>
      <c r="C39" s="15"/>
      <c r="D39" s="15"/>
      <c r="E39" s="23"/>
      <c r="F39" s="27"/>
      <c r="G39" s="67"/>
      <c r="H39" s="26" t="str">
        <f t="shared" si="0"/>
        <v/>
      </c>
      <c r="I39" s="71"/>
      <c r="K39" s="43"/>
      <c r="L39" s="48" t="str">
        <f t="shared" si="1"/>
        <v/>
      </c>
      <c r="M39" s="43"/>
      <c r="N39" s="43"/>
    </row>
    <row r="40" spans="2:14" x14ac:dyDescent="0.25">
      <c r="B40" s="53"/>
      <c r="C40" s="15"/>
      <c r="D40" s="15"/>
      <c r="E40" s="23"/>
      <c r="F40" s="27"/>
      <c r="G40" s="67"/>
      <c r="H40" s="26" t="str">
        <f t="shared" ref="H40:H56" si="2">IF(E40="","",F40*G40)</f>
        <v/>
      </c>
      <c r="I40" s="71"/>
      <c r="K40" s="43"/>
      <c r="L40" s="48" t="str">
        <f t="shared" si="1"/>
        <v/>
      </c>
      <c r="M40" s="43"/>
      <c r="N40" s="43"/>
    </row>
    <row r="41" spans="2:14" x14ac:dyDescent="0.25">
      <c r="B41" s="53"/>
      <c r="C41" s="15"/>
      <c r="D41" s="15"/>
      <c r="E41" s="23"/>
      <c r="F41" s="27"/>
      <c r="G41" s="67"/>
      <c r="H41" s="26" t="str">
        <f t="shared" si="2"/>
        <v/>
      </c>
      <c r="I41" s="71"/>
      <c r="K41" s="43"/>
      <c r="L41" s="48" t="str">
        <f t="shared" si="1"/>
        <v/>
      </c>
      <c r="M41" s="43"/>
      <c r="N41" s="43"/>
    </row>
    <row r="42" spans="2:14" x14ac:dyDescent="0.25">
      <c r="B42" s="53"/>
      <c r="C42" s="15"/>
      <c r="D42" s="15"/>
      <c r="E42" s="23"/>
      <c r="F42" s="27"/>
      <c r="G42" s="67"/>
      <c r="H42" s="26" t="str">
        <f t="shared" si="2"/>
        <v/>
      </c>
      <c r="I42" s="71"/>
      <c r="K42" s="43"/>
      <c r="L42" s="48" t="str">
        <f t="shared" si="1"/>
        <v/>
      </c>
      <c r="M42" s="43"/>
      <c r="N42" s="43"/>
    </row>
    <row r="43" spans="2:14" x14ac:dyDescent="0.25">
      <c r="B43" s="53"/>
      <c r="C43" s="15"/>
      <c r="D43" s="15"/>
      <c r="E43" s="23"/>
      <c r="F43" s="27"/>
      <c r="G43" s="67"/>
      <c r="H43" s="26" t="str">
        <f t="shared" si="2"/>
        <v/>
      </c>
      <c r="I43" s="71"/>
      <c r="K43" s="43"/>
      <c r="L43" s="48" t="str">
        <f t="shared" si="1"/>
        <v/>
      </c>
      <c r="M43" s="43"/>
      <c r="N43" s="43"/>
    </row>
    <row r="44" spans="2:14" x14ac:dyDescent="0.25">
      <c r="B44" s="53"/>
      <c r="C44" s="15"/>
      <c r="D44" s="15"/>
      <c r="E44" s="23"/>
      <c r="F44" s="27"/>
      <c r="G44" s="67"/>
      <c r="H44" s="26" t="str">
        <f t="shared" si="2"/>
        <v/>
      </c>
      <c r="I44" s="71"/>
      <c r="K44" s="43"/>
      <c r="L44" s="48" t="str">
        <f t="shared" si="1"/>
        <v/>
      </c>
      <c r="M44" s="43"/>
      <c r="N44" s="43"/>
    </row>
    <row r="45" spans="2:14" x14ac:dyDescent="0.25">
      <c r="B45" s="53"/>
      <c r="C45" s="15"/>
      <c r="D45" s="15"/>
      <c r="E45" s="23"/>
      <c r="F45" s="27"/>
      <c r="G45" s="67"/>
      <c r="H45" s="26" t="str">
        <f t="shared" si="2"/>
        <v/>
      </c>
      <c r="I45" s="71"/>
      <c r="K45" s="43"/>
      <c r="L45" s="48" t="str">
        <f t="shared" si="1"/>
        <v/>
      </c>
      <c r="M45" s="43"/>
      <c r="N45" s="43"/>
    </row>
    <row r="46" spans="2:14" x14ac:dyDescent="0.25">
      <c r="B46" s="53"/>
      <c r="C46" s="15"/>
      <c r="D46" s="15"/>
      <c r="E46" s="23"/>
      <c r="F46" s="27"/>
      <c r="G46" s="67"/>
      <c r="H46" s="26" t="str">
        <f t="shared" si="2"/>
        <v/>
      </c>
      <c r="I46" s="71"/>
      <c r="K46" s="43"/>
      <c r="L46" s="48" t="str">
        <f t="shared" si="1"/>
        <v/>
      </c>
      <c r="M46" s="43"/>
      <c r="N46" s="43"/>
    </row>
    <row r="47" spans="2:14" x14ac:dyDescent="0.25">
      <c r="B47" s="53"/>
      <c r="C47" s="15"/>
      <c r="D47" s="15"/>
      <c r="E47" s="23"/>
      <c r="F47" s="27"/>
      <c r="G47" s="67"/>
      <c r="H47" s="26" t="str">
        <f t="shared" si="2"/>
        <v/>
      </c>
      <c r="I47" s="71"/>
    </row>
    <row r="48" spans="2:14" x14ac:dyDescent="0.25">
      <c r="B48" s="53"/>
      <c r="C48" s="15"/>
      <c r="D48" s="15"/>
      <c r="E48" s="23"/>
      <c r="F48" s="27"/>
      <c r="G48" s="67"/>
      <c r="H48" s="26" t="str">
        <f t="shared" si="2"/>
        <v/>
      </c>
      <c r="I48" s="71"/>
    </row>
    <row r="49" spans="2:9" x14ac:dyDescent="0.25">
      <c r="B49" s="53"/>
      <c r="C49" s="15"/>
      <c r="D49" s="15"/>
      <c r="E49" s="23"/>
      <c r="F49" s="27"/>
      <c r="G49" s="67"/>
      <c r="H49" s="26" t="str">
        <f t="shared" si="2"/>
        <v/>
      </c>
      <c r="I49" s="71"/>
    </row>
    <row r="50" spans="2:9" x14ac:dyDescent="0.25">
      <c r="B50" s="53"/>
      <c r="C50" s="15"/>
      <c r="D50" s="15"/>
      <c r="E50" s="23"/>
      <c r="F50" s="27"/>
      <c r="G50" s="67"/>
      <c r="H50" s="26" t="str">
        <f t="shared" si="2"/>
        <v/>
      </c>
      <c r="I50" s="71"/>
    </row>
    <row r="51" spans="2:9" x14ac:dyDescent="0.25">
      <c r="B51" s="53"/>
      <c r="C51" s="15"/>
      <c r="D51" s="15"/>
      <c r="E51" s="23"/>
      <c r="F51" s="27"/>
      <c r="G51" s="67"/>
      <c r="H51" s="26" t="str">
        <f t="shared" si="2"/>
        <v/>
      </c>
      <c r="I51" s="71"/>
    </row>
    <row r="52" spans="2:9" x14ac:dyDescent="0.25">
      <c r="B52" s="53"/>
      <c r="C52" s="15"/>
      <c r="D52" s="15"/>
      <c r="E52" s="23"/>
      <c r="F52" s="27"/>
      <c r="G52" s="67"/>
      <c r="H52" s="26" t="str">
        <f t="shared" si="2"/>
        <v/>
      </c>
      <c r="I52" s="71"/>
    </row>
    <row r="53" spans="2:9" x14ac:dyDescent="0.25">
      <c r="B53" s="53"/>
      <c r="C53" s="15"/>
      <c r="D53" s="15"/>
      <c r="E53" s="23"/>
      <c r="F53" s="27"/>
      <c r="G53" s="67"/>
      <c r="H53" s="26" t="str">
        <f t="shared" si="2"/>
        <v/>
      </c>
      <c r="I53" s="71"/>
    </row>
    <row r="54" spans="2:9" x14ac:dyDescent="0.25">
      <c r="B54" s="53"/>
      <c r="C54" s="15"/>
      <c r="D54" s="15"/>
      <c r="E54" s="23"/>
      <c r="F54" s="27"/>
      <c r="G54" s="67"/>
      <c r="H54" s="26" t="str">
        <f t="shared" si="2"/>
        <v/>
      </c>
      <c r="I54" s="71"/>
    </row>
    <row r="55" spans="2:9" x14ac:dyDescent="0.25">
      <c r="B55" s="53"/>
      <c r="C55" s="15"/>
      <c r="D55" s="15"/>
      <c r="E55" s="23"/>
      <c r="F55" s="27"/>
      <c r="G55" s="67"/>
      <c r="H55" s="26" t="str">
        <f t="shared" si="2"/>
        <v/>
      </c>
      <c r="I55" s="71"/>
    </row>
    <row r="56" spans="2:9" x14ac:dyDescent="0.25">
      <c r="B56" s="53"/>
      <c r="C56" s="15"/>
      <c r="D56" s="15"/>
      <c r="E56" s="23"/>
      <c r="F56" s="27"/>
      <c r="G56" s="67"/>
      <c r="H56" s="26" t="str">
        <f t="shared" si="2"/>
        <v/>
      </c>
      <c r="I56" s="71"/>
    </row>
    <row r="57" spans="2:9" x14ac:dyDescent="0.25">
      <c r="B57" s="53"/>
      <c r="C57" s="15"/>
      <c r="D57" s="15"/>
      <c r="E57" s="23"/>
      <c r="F57" s="27"/>
      <c r="G57" s="67"/>
      <c r="H57" s="26"/>
      <c r="I57" s="71"/>
    </row>
    <row r="58" spans="2:9" x14ac:dyDescent="0.25">
      <c r="B58" s="53"/>
      <c r="C58" s="15"/>
      <c r="D58" s="15"/>
      <c r="E58" s="23"/>
      <c r="F58" s="27"/>
      <c r="G58" s="67"/>
      <c r="H58" s="26" t="str">
        <f t="shared" ref="H58:H72" si="3">IF(E58="","",F58*G58)</f>
        <v/>
      </c>
      <c r="I58" s="71"/>
    </row>
    <row r="59" spans="2:9" x14ac:dyDescent="0.25">
      <c r="B59" s="53"/>
      <c r="C59" s="15"/>
      <c r="D59" s="15"/>
      <c r="E59" s="23"/>
      <c r="F59" s="27"/>
      <c r="G59" s="67"/>
      <c r="H59" s="26" t="str">
        <f t="shared" si="3"/>
        <v/>
      </c>
      <c r="I59" s="71"/>
    </row>
    <row r="60" spans="2:9" x14ac:dyDescent="0.25">
      <c r="B60" s="53"/>
      <c r="C60" s="15"/>
      <c r="D60" s="15"/>
      <c r="E60" s="23"/>
      <c r="F60" s="27"/>
      <c r="G60" s="67"/>
      <c r="H60" s="26" t="str">
        <f t="shared" si="3"/>
        <v/>
      </c>
      <c r="I60" s="71"/>
    </row>
    <row r="61" spans="2:9" x14ac:dyDescent="0.25">
      <c r="B61" s="53"/>
      <c r="C61" s="15"/>
      <c r="D61" s="15"/>
      <c r="E61" s="23"/>
      <c r="F61" s="27"/>
      <c r="G61" s="67"/>
      <c r="H61" s="26" t="str">
        <f t="shared" si="3"/>
        <v/>
      </c>
      <c r="I61" s="71"/>
    </row>
    <row r="62" spans="2:9" x14ac:dyDescent="0.25">
      <c r="B62" s="53"/>
      <c r="C62" s="15"/>
      <c r="D62" s="15"/>
      <c r="E62" s="23"/>
      <c r="F62" s="27"/>
      <c r="G62" s="67"/>
      <c r="H62" s="26" t="str">
        <f t="shared" si="3"/>
        <v/>
      </c>
      <c r="I62" s="71"/>
    </row>
    <row r="63" spans="2:9" x14ac:dyDescent="0.25">
      <c r="B63" s="53"/>
      <c r="C63" s="15"/>
      <c r="D63" s="15"/>
      <c r="E63" s="23"/>
      <c r="F63" s="27"/>
      <c r="G63" s="67"/>
      <c r="H63" s="26" t="str">
        <f t="shared" si="3"/>
        <v/>
      </c>
      <c r="I63" s="71"/>
    </row>
    <row r="64" spans="2:9" x14ac:dyDescent="0.25">
      <c r="B64" s="53"/>
      <c r="C64" s="15"/>
      <c r="D64" s="15"/>
      <c r="E64" s="23"/>
      <c r="F64" s="27"/>
      <c r="G64" s="67"/>
      <c r="H64" s="26" t="str">
        <f t="shared" si="3"/>
        <v/>
      </c>
      <c r="I64" s="71"/>
    </row>
    <row r="65" spans="2:12" x14ac:dyDescent="0.25">
      <c r="B65" s="53"/>
      <c r="C65" s="15"/>
      <c r="D65" s="15"/>
      <c r="E65" s="23"/>
      <c r="F65" s="27"/>
      <c r="G65" s="67"/>
      <c r="H65" s="26" t="str">
        <f t="shared" si="3"/>
        <v/>
      </c>
      <c r="I65" s="71"/>
    </row>
    <row r="66" spans="2:12" x14ac:dyDescent="0.25">
      <c r="B66" s="53"/>
      <c r="C66" s="15"/>
      <c r="D66" s="15"/>
      <c r="E66" s="23"/>
      <c r="F66" s="27"/>
      <c r="G66" s="67"/>
      <c r="H66" s="26" t="str">
        <f t="shared" si="3"/>
        <v/>
      </c>
      <c r="I66" s="71"/>
    </row>
    <row r="67" spans="2:12" x14ac:dyDescent="0.25">
      <c r="B67" s="53"/>
      <c r="C67" s="15"/>
      <c r="D67" s="15"/>
      <c r="E67" s="23"/>
      <c r="F67" s="27"/>
      <c r="G67" s="67"/>
      <c r="H67" s="26" t="str">
        <f t="shared" si="3"/>
        <v/>
      </c>
      <c r="I67" s="71"/>
    </row>
    <row r="68" spans="2:12" x14ac:dyDescent="0.25">
      <c r="B68" s="53"/>
      <c r="C68" s="15"/>
      <c r="D68" s="15"/>
      <c r="E68" s="23"/>
      <c r="F68" s="27"/>
      <c r="G68" s="67"/>
      <c r="H68" s="26" t="str">
        <f t="shared" si="3"/>
        <v/>
      </c>
      <c r="I68" s="71"/>
    </row>
    <row r="69" spans="2:12" x14ac:dyDescent="0.25">
      <c r="B69" s="53"/>
      <c r="C69" s="15"/>
      <c r="D69" s="15"/>
      <c r="E69" s="23"/>
      <c r="F69" s="27"/>
      <c r="G69" s="67"/>
      <c r="H69" s="26" t="str">
        <f t="shared" si="3"/>
        <v/>
      </c>
      <c r="I69" s="71"/>
    </row>
    <row r="70" spans="2:12" x14ac:dyDescent="0.25">
      <c r="B70" s="53"/>
      <c r="C70" s="15"/>
      <c r="D70" s="15"/>
      <c r="E70" s="23"/>
      <c r="F70" s="27"/>
      <c r="G70" s="67"/>
      <c r="H70" s="26" t="str">
        <f t="shared" si="3"/>
        <v/>
      </c>
      <c r="I70" s="71"/>
    </row>
    <row r="71" spans="2:12" x14ac:dyDescent="0.25">
      <c r="B71" s="53"/>
      <c r="C71" s="15"/>
      <c r="D71" s="15"/>
      <c r="E71" s="23"/>
      <c r="F71" s="27"/>
      <c r="G71" s="67"/>
      <c r="H71" s="26" t="str">
        <f t="shared" si="3"/>
        <v/>
      </c>
      <c r="I71" s="71"/>
    </row>
    <row r="72" spans="2:12" x14ac:dyDescent="0.25">
      <c r="B72" s="53"/>
      <c r="C72" s="15"/>
      <c r="D72" s="15"/>
      <c r="E72" s="23"/>
      <c r="F72" s="27"/>
      <c r="G72" s="67"/>
      <c r="H72" s="26" t="str">
        <f t="shared" si="3"/>
        <v/>
      </c>
      <c r="I72" s="71"/>
    </row>
    <row r="73" spans="2:12" s="31" customFormat="1" ht="24.75" customHeight="1" x14ac:dyDescent="0.25">
      <c r="B73" s="90" t="str">
        <f>$B$11</f>
        <v>C11.9</v>
      </c>
      <c r="C73" s="33" t="s">
        <v>957</v>
      </c>
      <c r="D73" s="33"/>
      <c r="E73" s="34"/>
      <c r="F73" s="35"/>
      <c r="G73" s="34"/>
      <c r="H73" s="36">
        <f>SUM(H10:H72)</f>
        <v>83916</v>
      </c>
      <c r="I73" s="37"/>
      <c r="L73" s="36">
        <f>SUM(L10:L72)</f>
        <v>3356.64</v>
      </c>
    </row>
  </sheetData>
  <mergeCells count="4">
    <mergeCell ref="F2:H2"/>
    <mergeCell ref="H5:H8"/>
    <mergeCell ref="B5:G5"/>
    <mergeCell ref="B6:G8"/>
  </mergeCells>
  <printOptions horizontalCentered="1"/>
  <pageMargins left="0.43307086614173229" right="0.31496062992125984" top="0.43307086614173229" bottom="0.62992125984251968" header="0.35433070866141736" footer="0.31496062992125984"/>
  <pageSetup paperSize="9" scale="79"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88B9B-EAAA-4436-B5E8-0B6938D0FE30}">
  <sheetPr codeName="Sheet26">
    <tabColor rgb="FF92D050"/>
  </sheetPr>
  <dimension ref="B1:N63"/>
  <sheetViews>
    <sheetView view="pageBreakPreview" topLeftCell="A35" zoomScaleNormal="125" zoomScaleSheetLayoutView="100" zoomScalePageLayoutView="125" workbookViewId="0">
      <selection activeCell="L25" sqref="L25"/>
    </sheetView>
  </sheetViews>
  <sheetFormatPr defaultColWidth="6.6640625" defaultRowHeight="13.2" x14ac:dyDescent="0.25"/>
  <cols>
    <col min="1" max="1" width="0.6640625" style="1" customWidth="1"/>
    <col min="2" max="2" width="11.5546875" style="38" customWidth="1"/>
    <col min="3" max="3" width="45.5546875" style="3" customWidth="1"/>
    <col min="4" max="4" width="4.10937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1" width="6.6640625" style="1"/>
    <col min="12" max="12" width="10.6640625" style="1" bestFit="1" customWidth="1"/>
    <col min="13" max="16384" width="6.6640625" style="1"/>
  </cols>
  <sheetData>
    <row r="1" spans="2:14" x14ac:dyDescent="0.25">
      <c r="H1" s="234">
        <f>MAX(H9:H497)</f>
        <v>248876</v>
      </c>
    </row>
    <row r="2" spans="2:14" x14ac:dyDescent="0.25">
      <c r="B2" s="2" t="str">
        <f>Client1</f>
        <v>Province of KwaZulu-Natal</v>
      </c>
      <c r="F2" s="510" t="str">
        <f>"Contract No. "&amp;ContractNo</f>
        <v>Contract No. ZNB02215/00000/00/HOD/INF/23/T</v>
      </c>
      <c r="G2" s="510"/>
      <c r="H2" s="510"/>
      <c r="K2" s="402"/>
      <c r="L2" s="402">
        <f>MAX(L3:L242)</f>
        <v>59048</v>
      </c>
      <c r="M2" s="402"/>
      <c r="N2" s="403"/>
    </row>
    <row r="3" spans="2:14" x14ac:dyDescent="0.25">
      <c r="B3" s="96" t="str">
        <f>Client2</f>
        <v>Department of Transport</v>
      </c>
      <c r="K3" s="1" t="s">
        <v>1421</v>
      </c>
      <c r="L3" s="1" t="s">
        <v>1422</v>
      </c>
      <c r="M3" s="1" t="s">
        <v>1423</v>
      </c>
      <c r="N3" s="1" t="s">
        <v>1424</v>
      </c>
    </row>
    <row r="4" spans="2:14" x14ac:dyDescent="0.25">
      <c r="B4" s="84"/>
      <c r="C4" s="84"/>
      <c r="D4" s="84"/>
      <c r="E4" s="85"/>
      <c r="F4" s="85"/>
      <c r="G4" s="86"/>
      <c r="H4" s="98"/>
      <c r="K4" s="86"/>
      <c r="L4" s="86"/>
      <c r="M4" s="86"/>
      <c r="N4" s="86"/>
    </row>
    <row r="5" spans="2:14" x14ac:dyDescent="0.25">
      <c r="B5" s="507" t="s">
        <v>8</v>
      </c>
      <c r="C5" s="508"/>
      <c r="D5" s="508"/>
      <c r="E5" s="508"/>
      <c r="F5" s="508"/>
      <c r="G5" s="508"/>
      <c r="H5" s="519" t="str">
        <f>"CHAPTER "&amp;B12</f>
        <v>CHAPTER 1/C13.1</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20"/>
      <c r="I6" s="9"/>
    </row>
    <row r="7" spans="2:14" ht="12.75" customHeight="1" x14ac:dyDescent="0.25">
      <c r="B7" s="500"/>
      <c r="C7" s="501"/>
      <c r="D7" s="501"/>
      <c r="E7" s="501"/>
      <c r="F7" s="501"/>
      <c r="G7" s="501"/>
      <c r="H7" s="520"/>
      <c r="I7" s="9"/>
    </row>
    <row r="8" spans="2:14" ht="7.5" customHeight="1" x14ac:dyDescent="0.25">
      <c r="B8" s="502"/>
      <c r="C8" s="503"/>
      <c r="D8" s="503"/>
      <c r="E8" s="503"/>
      <c r="F8" s="503"/>
      <c r="G8" s="503"/>
      <c r="H8" s="521"/>
      <c r="I8" s="9"/>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53"/>
      <c r="C10" s="225" t="s">
        <v>1177</v>
      </c>
      <c r="D10" s="492"/>
      <c r="E10" s="16"/>
      <c r="F10" s="16"/>
      <c r="G10" s="17"/>
      <c r="H10" s="18" t="str">
        <f t="shared" ref="H10:H31" si="0">IF(E10="","",F10*G10)</f>
        <v/>
      </c>
      <c r="I10" s="19"/>
      <c r="K10" s="17"/>
      <c r="L10" s="17"/>
      <c r="M10" s="17"/>
      <c r="N10" s="17"/>
    </row>
    <row r="11" spans="2:14" x14ac:dyDescent="0.25">
      <c r="B11" s="80"/>
      <c r="C11" s="21"/>
      <c r="D11" s="21"/>
      <c r="E11" s="23"/>
      <c r="F11" s="23"/>
      <c r="G11" s="43"/>
      <c r="H11" s="18"/>
      <c r="I11" s="44"/>
      <c r="K11" s="43"/>
      <c r="L11" s="43"/>
      <c r="M11" s="43"/>
      <c r="N11" s="43"/>
    </row>
    <row r="12" spans="2:14" x14ac:dyDescent="0.25">
      <c r="B12" s="80" t="s">
        <v>1178</v>
      </c>
      <c r="C12" s="21" t="s">
        <v>400</v>
      </c>
      <c r="D12" s="21"/>
      <c r="E12" s="23"/>
      <c r="F12" s="23"/>
      <c r="G12" s="43"/>
      <c r="H12" s="18" t="str">
        <f t="shared" si="0"/>
        <v/>
      </c>
      <c r="I12" s="44"/>
      <c r="K12" s="43"/>
      <c r="L12" s="43"/>
      <c r="M12" s="43"/>
      <c r="N12" s="43"/>
    </row>
    <row r="13" spans="2:14" x14ac:dyDescent="0.25">
      <c r="B13" s="53"/>
      <c r="C13" s="15"/>
      <c r="D13" s="15"/>
      <c r="E13" s="23"/>
      <c r="F13" s="23"/>
      <c r="G13" s="43"/>
      <c r="H13" s="18" t="str">
        <f t="shared" si="0"/>
        <v/>
      </c>
      <c r="I13" s="44"/>
      <c r="K13" s="25"/>
      <c r="L13" s="48" t="str">
        <f t="shared" ref="L13:L46" si="1">IF(K13="","",K13*F13)</f>
        <v/>
      </c>
      <c r="M13" s="25"/>
      <c r="N13" s="25"/>
    </row>
    <row r="14" spans="2:14" x14ac:dyDescent="0.25">
      <c r="B14" s="53"/>
      <c r="C14" s="15"/>
      <c r="D14" s="15"/>
      <c r="E14" s="23"/>
      <c r="F14" s="24"/>
      <c r="G14" s="46"/>
      <c r="H14" s="18" t="str">
        <f t="shared" si="0"/>
        <v/>
      </c>
      <c r="I14" s="44"/>
      <c r="K14" s="43"/>
      <c r="L14" s="48" t="str">
        <f t="shared" si="1"/>
        <v/>
      </c>
      <c r="M14" s="43"/>
      <c r="N14" s="43"/>
    </row>
    <row r="15" spans="2:14" x14ac:dyDescent="0.25">
      <c r="B15" s="53" t="s">
        <v>1179</v>
      </c>
      <c r="C15" s="15" t="s">
        <v>401</v>
      </c>
      <c r="D15" s="15"/>
      <c r="E15" s="23"/>
      <c r="F15" s="24"/>
      <c r="G15" s="48"/>
      <c r="H15" s="18" t="str">
        <f t="shared" si="0"/>
        <v/>
      </c>
      <c r="K15" s="43"/>
      <c r="L15" s="48" t="str">
        <f t="shared" si="1"/>
        <v/>
      </c>
      <c r="M15" s="43"/>
      <c r="N15" s="43"/>
    </row>
    <row r="16" spans="2:14" x14ac:dyDescent="0.25">
      <c r="B16" s="53"/>
      <c r="C16" s="1"/>
      <c r="D16" s="48"/>
      <c r="E16" s="23"/>
      <c r="F16" s="24"/>
      <c r="G16" s="48"/>
      <c r="H16" s="18" t="str">
        <f t="shared" si="0"/>
        <v/>
      </c>
      <c r="K16" s="43"/>
      <c r="L16" s="48" t="str">
        <f t="shared" si="1"/>
        <v/>
      </c>
      <c r="M16" s="43"/>
      <c r="N16" s="43"/>
    </row>
    <row r="17" spans="2:14" ht="26.4" x14ac:dyDescent="0.25">
      <c r="B17" s="53" t="s">
        <v>1180</v>
      </c>
      <c r="C17" s="15" t="s">
        <v>402</v>
      </c>
      <c r="D17" s="15"/>
      <c r="E17" s="23"/>
      <c r="F17" s="24"/>
      <c r="G17" s="41"/>
      <c r="H17" s="18" t="str">
        <f t="shared" si="0"/>
        <v/>
      </c>
      <c r="K17" s="43"/>
      <c r="L17" s="48" t="str">
        <f t="shared" si="1"/>
        <v/>
      </c>
      <c r="M17" s="43"/>
      <c r="N17" s="43"/>
    </row>
    <row r="18" spans="2:14" x14ac:dyDescent="0.25">
      <c r="B18" s="53"/>
      <c r="C18" s="15"/>
      <c r="D18" s="15"/>
      <c r="E18" s="23"/>
      <c r="F18" s="24"/>
      <c r="G18" s="48"/>
      <c r="H18" s="18" t="str">
        <f t="shared" si="0"/>
        <v/>
      </c>
      <c r="K18" s="43"/>
      <c r="L18" s="48" t="str">
        <f t="shared" si="1"/>
        <v/>
      </c>
      <c r="M18" s="43"/>
      <c r="N18" s="43"/>
    </row>
    <row r="19" spans="2:14" ht="15.6" x14ac:dyDescent="0.25">
      <c r="B19" s="53" t="s">
        <v>49</v>
      </c>
      <c r="C19" s="15" t="s">
        <v>403</v>
      </c>
      <c r="D19" s="23" t="s">
        <v>1602</v>
      </c>
      <c r="E19" s="23" t="s">
        <v>34</v>
      </c>
      <c r="F19" s="24">
        <v>20</v>
      </c>
      <c r="G19" s="211">
        <v>100</v>
      </c>
      <c r="H19" s="18">
        <f t="shared" si="0"/>
        <v>2000</v>
      </c>
      <c r="K19" s="43">
        <f>G19*5%</f>
        <v>5</v>
      </c>
      <c r="L19" s="48">
        <f t="shared" si="1"/>
        <v>100</v>
      </c>
      <c r="M19" s="43"/>
      <c r="N19" s="43"/>
    </row>
    <row r="20" spans="2:14" x14ac:dyDescent="0.25">
      <c r="B20" s="53"/>
      <c r="C20" s="15"/>
      <c r="D20" s="15"/>
      <c r="E20" s="23"/>
      <c r="F20" s="24"/>
      <c r="G20" s="48" t="s">
        <v>1556</v>
      </c>
      <c r="H20" s="18" t="str">
        <f t="shared" si="0"/>
        <v/>
      </c>
      <c r="K20" s="43"/>
      <c r="L20" s="48" t="str">
        <f t="shared" si="1"/>
        <v/>
      </c>
      <c r="M20" s="43"/>
      <c r="N20" s="43"/>
    </row>
    <row r="21" spans="2:14" ht="15.6" x14ac:dyDescent="0.25">
      <c r="B21" s="53" t="s">
        <v>51</v>
      </c>
      <c r="C21" s="15" t="s">
        <v>404</v>
      </c>
      <c r="D21" s="15"/>
      <c r="E21" s="23" t="s">
        <v>34</v>
      </c>
      <c r="F21" s="24">
        <v>24</v>
      </c>
      <c r="G21" s="211">
        <v>100</v>
      </c>
      <c r="H21" s="18">
        <f t="shared" si="0"/>
        <v>2400</v>
      </c>
      <c r="I21" s="45"/>
      <c r="K21" s="43">
        <f>G21*5%</f>
        <v>5</v>
      </c>
      <c r="L21" s="48">
        <f t="shared" si="1"/>
        <v>120</v>
      </c>
      <c r="M21" s="43"/>
      <c r="N21" s="43"/>
    </row>
    <row r="22" spans="2:14" x14ac:dyDescent="0.25">
      <c r="B22" s="53"/>
      <c r="C22" s="15"/>
      <c r="D22" s="15"/>
      <c r="E22" s="23"/>
      <c r="F22" s="27"/>
      <c r="G22" s="211" t="s">
        <v>1556</v>
      </c>
      <c r="H22" s="18" t="str">
        <f t="shared" si="0"/>
        <v/>
      </c>
      <c r="I22" s="19"/>
      <c r="K22" s="43"/>
      <c r="L22" s="48" t="str">
        <f t="shared" si="1"/>
        <v/>
      </c>
      <c r="M22" s="43"/>
      <c r="N22" s="43"/>
    </row>
    <row r="23" spans="2:14" s="39" customFormat="1" ht="15.6" x14ac:dyDescent="0.25">
      <c r="B23" s="53" t="s">
        <v>65</v>
      </c>
      <c r="C23" s="15" t="s">
        <v>405</v>
      </c>
      <c r="D23" s="15"/>
      <c r="E23" s="23" t="s">
        <v>34</v>
      </c>
      <c r="F23" s="27">
        <v>8</v>
      </c>
      <c r="G23" s="211">
        <v>100</v>
      </c>
      <c r="H23" s="18">
        <f t="shared" si="0"/>
        <v>800</v>
      </c>
      <c r="I23" s="19"/>
      <c r="J23" s="1"/>
      <c r="K23" s="43">
        <f>G23*5%</f>
        <v>5</v>
      </c>
      <c r="L23" s="48">
        <f t="shared" si="1"/>
        <v>40</v>
      </c>
      <c r="M23" s="43"/>
      <c r="N23" s="43"/>
    </row>
    <row r="24" spans="2:14" x14ac:dyDescent="0.25">
      <c r="B24" s="53"/>
      <c r="C24" s="15"/>
      <c r="D24" s="15"/>
      <c r="E24" s="23"/>
      <c r="F24" s="24"/>
      <c r="G24" s="211" t="s">
        <v>1556</v>
      </c>
      <c r="H24" s="18" t="str">
        <f t="shared" si="0"/>
        <v/>
      </c>
      <c r="I24" s="45"/>
      <c r="K24" s="43"/>
      <c r="L24" s="48" t="str">
        <f t="shared" si="1"/>
        <v/>
      </c>
      <c r="M24" s="43"/>
      <c r="N24" s="43"/>
    </row>
    <row r="25" spans="2:14" ht="26.4" x14ac:dyDescent="0.25">
      <c r="B25" s="53" t="s">
        <v>1181</v>
      </c>
      <c r="C25" s="15" t="s">
        <v>406</v>
      </c>
      <c r="D25" s="15"/>
      <c r="E25" s="23" t="s">
        <v>34</v>
      </c>
      <c r="F25" s="24">
        <v>40</v>
      </c>
      <c r="G25" s="211">
        <v>578</v>
      </c>
      <c r="H25" s="18">
        <f t="shared" si="0"/>
        <v>23120</v>
      </c>
      <c r="I25" s="45"/>
      <c r="K25" s="43"/>
      <c r="L25" s="48" t="str">
        <f t="shared" si="1"/>
        <v/>
      </c>
      <c r="M25" s="43"/>
      <c r="N25" s="43"/>
    </row>
    <row r="26" spans="2:14" x14ac:dyDescent="0.25">
      <c r="B26" s="53"/>
      <c r="C26" s="15"/>
      <c r="D26" s="15"/>
      <c r="E26" s="23"/>
      <c r="F26" s="24"/>
      <c r="G26" s="211" t="s">
        <v>1556</v>
      </c>
      <c r="H26" s="18" t="str">
        <f t="shared" si="0"/>
        <v/>
      </c>
      <c r="I26" s="44"/>
      <c r="K26" s="43"/>
      <c r="L26" s="48" t="str">
        <f t="shared" si="1"/>
        <v/>
      </c>
      <c r="M26" s="43"/>
      <c r="N26" s="43"/>
    </row>
    <row r="27" spans="2:14" ht="26.4" x14ac:dyDescent="0.25">
      <c r="B27" s="53" t="s">
        <v>1182</v>
      </c>
      <c r="C27" s="15" t="s">
        <v>407</v>
      </c>
      <c r="D27" s="15"/>
      <c r="E27" s="23" t="s">
        <v>34</v>
      </c>
      <c r="F27" s="24">
        <v>5</v>
      </c>
      <c r="G27" s="211">
        <v>100</v>
      </c>
      <c r="H27" s="18">
        <f t="shared" si="0"/>
        <v>500</v>
      </c>
      <c r="I27" s="44"/>
      <c r="K27" s="43"/>
      <c r="L27" s="48" t="str">
        <f t="shared" si="1"/>
        <v/>
      </c>
      <c r="M27" s="43"/>
      <c r="N27" s="43"/>
    </row>
    <row r="28" spans="2:14" x14ac:dyDescent="0.25">
      <c r="B28" s="53"/>
      <c r="C28" s="15"/>
      <c r="D28" s="15"/>
      <c r="E28" s="23"/>
      <c r="F28" s="24"/>
      <c r="G28" s="211" t="s">
        <v>1556</v>
      </c>
      <c r="H28" s="18"/>
      <c r="I28" s="44"/>
      <c r="K28" s="43"/>
      <c r="L28" s="48" t="str">
        <f t="shared" si="1"/>
        <v/>
      </c>
      <c r="M28" s="43"/>
      <c r="N28" s="43"/>
    </row>
    <row r="29" spans="2:14" x14ac:dyDescent="0.25">
      <c r="B29" s="53" t="s">
        <v>1183</v>
      </c>
      <c r="C29" s="15" t="s">
        <v>408</v>
      </c>
      <c r="D29" s="15"/>
      <c r="E29" s="23"/>
      <c r="F29" s="23"/>
      <c r="G29" s="211" t="s">
        <v>1556</v>
      </c>
      <c r="H29" s="18" t="str">
        <f t="shared" si="0"/>
        <v/>
      </c>
      <c r="I29" s="44"/>
      <c r="K29" s="43"/>
      <c r="L29" s="48" t="str">
        <f t="shared" si="1"/>
        <v/>
      </c>
      <c r="M29" s="43"/>
      <c r="N29" s="43"/>
    </row>
    <row r="30" spans="2:14" x14ac:dyDescent="0.25">
      <c r="B30" s="53"/>
      <c r="C30" s="15"/>
      <c r="D30" s="15"/>
      <c r="E30" s="23"/>
      <c r="F30" s="23"/>
      <c r="G30" s="211" t="s">
        <v>1556</v>
      </c>
      <c r="H30" s="18" t="str">
        <f t="shared" si="0"/>
        <v/>
      </c>
      <c r="I30" s="44"/>
      <c r="K30" s="43"/>
      <c r="L30" s="48" t="str">
        <f t="shared" si="1"/>
        <v/>
      </c>
      <c r="M30" s="43"/>
      <c r="N30" s="43"/>
    </row>
    <row r="31" spans="2:14" ht="26.4" x14ac:dyDescent="0.25">
      <c r="B31" s="53" t="s">
        <v>1184</v>
      </c>
      <c r="C31" s="15" t="s">
        <v>409</v>
      </c>
      <c r="D31" s="15"/>
      <c r="E31" s="23"/>
      <c r="F31" s="23"/>
      <c r="G31" s="211" t="s">
        <v>1556</v>
      </c>
      <c r="H31" s="18" t="str">
        <f t="shared" si="0"/>
        <v/>
      </c>
      <c r="I31" s="44"/>
      <c r="K31" s="43"/>
      <c r="L31" s="48" t="str">
        <f t="shared" si="1"/>
        <v/>
      </c>
      <c r="M31" s="43"/>
      <c r="N31" s="43"/>
    </row>
    <row r="32" spans="2:14" x14ac:dyDescent="0.25">
      <c r="B32" s="53"/>
      <c r="C32" s="15"/>
      <c r="D32" s="15"/>
      <c r="E32" s="23"/>
      <c r="F32" s="23"/>
      <c r="G32" s="211" t="s">
        <v>1556</v>
      </c>
      <c r="H32" s="18" t="str">
        <f t="shared" ref="H32:H62" si="2">IF(E32="","",F32*G32)</f>
        <v/>
      </c>
      <c r="I32" s="44"/>
      <c r="K32" s="43"/>
      <c r="L32" s="48" t="str">
        <f t="shared" si="1"/>
        <v/>
      </c>
      <c r="M32" s="43"/>
      <c r="N32" s="43"/>
    </row>
    <row r="33" spans="2:14" ht="15.6" x14ac:dyDescent="0.25">
      <c r="B33" s="53" t="s">
        <v>49</v>
      </c>
      <c r="C33" s="15" t="s">
        <v>403</v>
      </c>
      <c r="D33" s="23" t="s">
        <v>1602</v>
      </c>
      <c r="E33" s="23" t="s">
        <v>34</v>
      </c>
      <c r="F33" s="23">
        <v>240</v>
      </c>
      <c r="G33" s="211">
        <v>315</v>
      </c>
      <c r="H33" s="18">
        <f t="shared" si="2"/>
        <v>75600</v>
      </c>
      <c r="I33" s="44"/>
      <c r="K33" s="43">
        <f>_Excavation</f>
        <v>134</v>
      </c>
      <c r="L33" s="48">
        <f t="shared" si="1"/>
        <v>32160</v>
      </c>
      <c r="M33" s="43"/>
      <c r="N33" s="43"/>
    </row>
    <row r="34" spans="2:14" x14ac:dyDescent="0.25">
      <c r="B34" s="53"/>
      <c r="C34" s="15"/>
      <c r="D34" s="15"/>
      <c r="E34" s="23"/>
      <c r="F34" s="23"/>
      <c r="G34" s="211" t="s">
        <v>1556</v>
      </c>
      <c r="H34" s="18" t="str">
        <f t="shared" si="2"/>
        <v/>
      </c>
      <c r="I34" s="44"/>
      <c r="K34" s="43"/>
      <c r="L34" s="48" t="str">
        <f t="shared" si="1"/>
        <v/>
      </c>
      <c r="M34" s="43"/>
      <c r="N34" s="43"/>
    </row>
    <row r="35" spans="2:14" ht="26.4" x14ac:dyDescent="0.25">
      <c r="B35" s="53" t="s">
        <v>1185</v>
      </c>
      <c r="C35" s="15" t="s">
        <v>410</v>
      </c>
      <c r="D35" s="23" t="s">
        <v>1602</v>
      </c>
      <c r="E35" s="23" t="s">
        <v>34</v>
      </c>
      <c r="F35" s="23">
        <v>20</v>
      </c>
      <c r="G35" s="211">
        <v>105</v>
      </c>
      <c r="H35" s="18">
        <f t="shared" si="2"/>
        <v>2100</v>
      </c>
      <c r="I35" s="44"/>
      <c r="K35" s="43"/>
      <c r="L35" s="48" t="str">
        <f t="shared" si="1"/>
        <v/>
      </c>
      <c r="M35" s="43"/>
      <c r="N35" s="43"/>
    </row>
    <row r="36" spans="2:14" x14ac:dyDescent="0.25">
      <c r="B36" s="53"/>
      <c r="C36" s="15"/>
      <c r="D36" s="15"/>
      <c r="E36" s="23"/>
      <c r="F36" s="23"/>
      <c r="G36" s="211" t="s">
        <v>1556</v>
      </c>
      <c r="H36" s="18" t="str">
        <f t="shared" si="2"/>
        <v/>
      </c>
      <c r="I36" s="44"/>
      <c r="K36" s="43"/>
      <c r="L36" s="48" t="str">
        <f t="shared" si="1"/>
        <v/>
      </c>
      <c r="M36" s="43"/>
      <c r="N36" s="43"/>
    </row>
    <row r="37" spans="2:14" ht="26.4" x14ac:dyDescent="0.25">
      <c r="B37" s="53" t="s">
        <v>1186</v>
      </c>
      <c r="C37" s="15" t="s">
        <v>411</v>
      </c>
      <c r="D37" s="15"/>
      <c r="E37" s="23" t="s">
        <v>34</v>
      </c>
      <c r="F37" s="23">
        <v>40</v>
      </c>
      <c r="G37" s="211">
        <v>315</v>
      </c>
      <c r="H37" s="18">
        <f t="shared" si="2"/>
        <v>12600</v>
      </c>
      <c r="I37" s="44"/>
      <c r="K37" s="43"/>
      <c r="L37" s="48" t="str">
        <f t="shared" si="1"/>
        <v/>
      </c>
      <c r="M37" s="43"/>
      <c r="N37" s="43"/>
    </row>
    <row r="38" spans="2:14" ht="12" customHeight="1" x14ac:dyDescent="0.25">
      <c r="B38" s="53"/>
      <c r="C38" s="15"/>
      <c r="D38" s="15"/>
      <c r="E38" s="23"/>
      <c r="F38" s="23"/>
      <c r="G38" s="211" t="s">
        <v>1556</v>
      </c>
      <c r="H38" s="18" t="str">
        <f t="shared" si="2"/>
        <v/>
      </c>
      <c r="I38" s="44"/>
      <c r="K38" s="43"/>
      <c r="L38" s="48" t="str">
        <f t="shared" si="1"/>
        <v/>
      </c>
      <c r="M38" s="43"/>
      <c r="N38" s="43"/>
    </row>
    <row r="39" spans="2:14" x14ac:dyDescent="0.25">
      <c r="B39" s="53" t="s">
        <v>1187</v>
      </c>
      <c r="C39" s="15" t="s">
        <v>413</v>
      </c>
      <c r="D39" s="15"/>
      <c r="E39" s="23"/>
      <c r="F39" s="23"/>
      <c r="G39" s="41" t="s">
        <v>1556</v>
      </c>
      <c r="H39" s="18" t="str">
        <f t="shared" si="2"/>
        <v/>
      </c>
      <c r="I39" s="44"/>
      <c r="K39" s="43"/>
      <c r="L39" s="48" t="str">
        <f t="shared" si="1"/>
        <v/>
      </c>
      <c r="M39" s="43"/>
      <c r="N39" s="43"/>
    </row>
    <row r="40" spans="2:14" ht="12" customHeight="1" x14ac:dyDescent="0.25">
      <c r="B40" s="53"/>
      <c r="C40" s="15"/>
      <c r="D40" s="15"/>
      <c r="E40" s="23"/>
      <c r="F40" s="23"/>
      <c r="G40" s="41" t="s">
        <v>1556</v>
      </c>
      <c r="H40" s="18" t="str">
        <f t="shared" si="2"/>
        <v/>
      </c>
      <c r="I40" s="44"/>
      <c r="K40" s="43"/>
      <c r="L40" s="48" t="str">
        <f t="shared" si="1"/>
        <v/>
      </c>
      <c r="M40" s="43"/>
      <c r="N40" s="43"/>
    </row>
    <row r="41" spans="2:14" ht="15.6" x14ac:dyDescent="0.25">
      <c r="B41" s="53" t="s">
        <v>1188</v>
      </c>
      <c r="C41" s="15" t="s">
        <v>412</v>
      </c>
      <c r="D41" s="23" t="s">
        <v>1602</v>
      </c>
      <c r="E41" s="23" t="s">
        <v>34</v>
      </c>
      <c r="F41" s="23">
        <v>96</v>
      </c>
      <c r="G41" s="41">
        <v>100</v>
      </c>
      <c r="H41" s="18">
        <f t="shared" si="2"/>
        <v>9600</v>
      </c>
      <c r="I41" s="44"/>
      <c r="K41" s="43">
        <f>_Backfill</f>
        <v>45</v>
      </c>
      <c r="L41" s="48">
        <f t="shared" si="1"/>
        <v>4320</v>
      </c>
      <c r="M41" s="43"/>
      <c r="N41" s="43"/>
    </row>
    <row r="42" spans="2:14" ht="12" customHeight="1" x14ac:dyDescent="0.25">
      <c r="B42" s="53"/>
      <c r="C42" s="15"/>
      <c r="D42" s="15"/>
      <c r="E42" s="23"/>
      <c r="F42" s="23"/>
      <c r="G42" s="41" t="s">
        <v>1556</v>
      </c>
      <c r="H42" s="18" t="str">
        <f t="shared" si="2"/>
        <v/>
      </c>
      <c r="K42" s="43"/>
      <c r="L42" s="48" t="str">
        <f t="shared" si="1"/>
        <v/>
      </c>
      <c r="M42" s="43"/>
      <c r="N42" s="43"/>
    </row>
    <row r="43" spans="2:14" ht="15.6" x14ac:dyDescent="0.25">
      <c r="B43" s="53" t="s">
        <v>1189</v>
      </c>
      <c r="C43" s="15" t="s">
        <v>1174</v>
      </c>
      <c r="D43" s="23" t="s">
        <v>1602</v>
      </c>
      <c r="E43" s="23" t="s">
        <v>34</v>
      </c>
      <c r="F43" s="23">
        <v>246</v>
      </c>
      <c r="G43" s="41">
        <v>121</v>
      </c>
      <c r="H43" s="18">
        <f t="shared" si="2"/>
        <v>29766</v>
      </c>
      <c r="I43" s="44"/>
      <c r="K43" s="43">
        <f>_Backfill</f>
        <v>45</v>
      </c>
      <c r="L43" s="48">
        <f t="shared" si="1"/>
        <v>11070</v>
      </c>
      <c r="M43" s="43"/>
      <c r="N43" s="43"/>
    </row>
    <row r="44" spans="2:14" ht="12" customHeight="1" x14ac:dyDescent="0.25">
      <c r="B44" s="53"/>
      <c r="C44" s="15"/>
      <c r="D44" s="15"/>
      <c r="E44" s="23"/>
      <c r="F44" s="23"/>
      <c r="G44" s="41" t="s">
        <v>1556</v>
      </c>
      <c r="H44" s="18" t="str">
        <f t="shared" si="2"/>
        <v/>
      </c>
      <c r="I44" s="52"/>
      <c r="K44" s="43"/>
      <c r="L44" s="48" t="str">
        <f t="shared" si="1"/>
        <v/>
      </c>
      <c r="M44" s="43"/>
      <c r="N44" s="43"/>
    </row>
    <row r="45" spans="2:14" ht="15.6" x14ac:dyDescent="0.25">
      <c r="B45" s="53" t="s">
        <v>1190</v>
      </c>
      <c r="C45" s="15" t="s">
        <v>414</v>
      </c>
      <c r="D45" s="15"/>
      <c r="E45" s="23" t="s">
        <v>34</v>
      </c>
      <c r="F45" s="23">
        <v>20</v>
      </c>
      <c r="G45" s="41">
        <v>21</v>
      </c>
      <c r="H45" s="18">
        <f t="shared" si="2"/>
        <v>420</v>
      </c>
      <c r="K45" s="43"/>
      <c r="L45" s="48" t="str">
        <f t="shared" si="1"/>
        <v/>
      </c>
      <c r="M45" s="43"/>
      <c r="N45" s="43"/>
    </row>
    <row r="46" spans="2:14" ht="12" customHeight="1" x14ac:dyDescent="0.25">
      <c r="B46" s="53"/>
      <c r="C46" s="15"/>
      <c r="D46" s="15"/>
      <c r="E46" s="23"/>
      <c r="F46" s="23"/>
      <c r="G46" s="41" t="s">
        <v>1556</v>
      </c>
      <c r="H46" s="18" t="str">
        <f t="shared" si="2"/>
        <v/>
      </c>
      <c r="I46" s="44"/>
      <c r="K46" s="43"/>
      <c r="L46" s="48" t="str">
        <f t="shared" si="1"/>
        <v/>
      </c>
      <c r="M46" s="43"/>
      <c r="N46" s="43"/>
    </row>
    <row r="47" spans="2:14" ht="39.6" x14ac:dyDescent="0.25">
      <c r="B47" s="53" t="s">
        <v>1191</v>
      </c>
      <c r="C47" s="15" t="s">
        <v>415</v>
      </c>
      <c r="D47" s="15"/>
      <c r="E47" s="23" t="s">
        <v>599</v>
      </c>
      <c r="F47" s="23">
        <v>1800</v>
      </c>
      <c r="G47" s="41">
        <v>9</v>
      </c>
      <c r="H47" s="18">
        <f t="shared" si="2"/>
        <v>16200</v>
      </c>
      <c r="I47" s="44"/>
      <c r="K47" s="43"/>
      <c r="L47" s="48" t="str">
        <f t="shared" ref="L47:L62" si="3">IF(K47="","",K47*F47)</f>
        <v/>
      </c>
      <c r="M47" s="43"/>
      <c r="N47" s="43"/>
    </row>
    <row r="48" spans="2:14" ht="12" customHeight="1" x14ac:dyDescent="0.25">
      <c r="B48" s="53"/>
      <c r="C48" s="15"/>
      <c r="D48" s="15"/>
      <c r="E48" s="23"/>
      <c r="F48" s="23"/>
      <c r="G48" s="41" t="s">
        <v>1556</v>
      </c>
      <c r="H48" s="18" t="str">
        <f t="shared" si="2"/>
        <v/>
      </c>
      <c r="I48" s="44"/>
      <c r="K48" s="43"/>
      <c r="L48" s="48" t="str">
        <f t="shared" si="3"/>
        <v/>
      </c>
      <c r="M48" s="43"/>
      <c r="N48" s="43"/>
    </row>
    <row r="49" spans="2:14" ht="15.6" x14ac:dyDescent="0.25">
      <c r="B49" s="53" t="s">
        <v>1192</v>
      </c>
      <c r="C49" s="15" t="s">
        <v>416</v>
      </c>
      <c r="D49" s="15"/>
      <c r="E49" s="23" t="s">
        <v>80</v>
      </c>
      <c r="F49" s="23">
        <v>15</v>
      </c>
      <c r="G49" s="41">
        <v>158</v>
      </c>
      <c r="H49" s="18">
        <f t="shared" si="2"/>
        <v>2370</v>
      </c>
      <c r="I49" s="44"/>
      <c r="K49" s="43"/>
      <c r="L49" s="48" t="str">
        <f t="shared" si="3"/>
        <v/>
      </c>
      <c r="M49" s="43"/>
      <c r="N49" s="43"/>
    </row>
    <row r="50" spans="2:14" x14ac:dyDescent="0.25">
      <c r="B50" s="53"/>
      <c r="C50" s="15"/>
      <c r="D50" s="15"/>
      <c r="E50" s="23"/>
      <c r="F50" s="23"/>
      <c r="G50" s="41" t="s">
        <v>1556</v>
      </c>
      <c r="H50" s="18"/>
      <c r="I50" s="44"/>
      <c r="K50" s="43"/>
      <c r="L50" s="48" t="str">
        <f t="shared" si="3"/>
        <v/>
      </c>
      <c r="M50" s="43"/>
      <c r="N50" s="43"/>
    </row>
    <row r="51" spans="2:14" x14ac:dyDescent="0.25">
      <c r="B51" s="53" t="s">
        <v>1193</v>
      </c>
      <c r="C51" s="15" t="s">
        <v>417</v>
      </c>
      <c r="D51" s="15"/>
      <c r="E51" s="23"/>
      <c r="F51" s="23"/>
      <c r="G51" s="41" t="s">
        <v>1556</v>
      </c>
      <c r="H51" s="18" t="str">
        <f>IF(E51="","",F51*G51)</f>
        <v/>
      </c>
      <c r="I51" s="44"/>
      <c r="K51" s="43"/>
      <c r="L51" s="48" t="str">
        <f t="shared" si="3"/>
        <v/>
      </c>
      <c r="M51" s="43"/>
      <c r="N51" s="43"/>
    </row>
    <row r="52" spans="2:14" x14ac:dyDescent="0.25">
      <c r="B52" s="53"/>
      <c r="C52" s="15"/>
      <c r="D52" s="15"/>
      <c r="E52" s="23"/>
      <c r="F52" s="23"/>
      <c r="G52" s="41" t="s">
        <v>1556</v>
      </c>
      <c r="H52" s="18" t="str">
        <f>IF(E52="","",F52*G52)</f>
        <v/>
      </c>
      <c r="I52" s="44"/>
      <c r="K52" s="43"/>
      <c r="L52" s="48" t="str">
        <f t="shared" si="3"/>
        <v/>
      </c>
      <c r="M52" s="43"/>
      <c r="N52" s="43"/>
    </row>
    <row r="53" spans="2:14" ht="15.6" x14ac:dyDescent="0.25">
      <c r="B53" s="53" t="s">
        <v>1194</v>
      </c>
      <c r="C53" s="15" t="s">
        <v>328</v>
      </c>
      <c r="D53" s="15"/>
      <c r="E53" s="23" t="s">
        <v>34</v>
      </c>
      <c r="F53" s="23">
        <v>10</v>
      </c>
      <c r="G53" s="41">
        <v>546</v>
      </c>
      <c r="H53" s="18">
        <f>IF(E53="","",F53*G53)</f>
        <v>5460</v>
      </c>
      <c r="I53" s="44"/>
      <c r="K53" s="43">
        <f>_Backfill</f>
        <v>45</v>
      </c>
      <c r="L53" s="48">
        <f t="shared" si="3"/>
        <v>450</v>
      </c>
      <c r="M53" s="43"/>
      <c r="N53" s="43"/>
    </row>
    <row r="54" spans="2:14" x14ac:dyDescent="0.25">
      <c r="B54" s="53"/>
      <c r="C54" s="15"/>
      <c r="D54" s="15"/>
      <c r="E54" s="23"/>
      <c r="F54" s="23"/>
      <c r="G54" s="41" t="s">
        <v>1556</v>
      </c>
      <c r="H54" s="18"/>
      <c r="I54" s="44"/>
      <c r="K54" s="43"/>
      <c r="L54" s="48" t="str">
        <f t="shared" si="3"/>
        <v/>
      </c>
      <c r="M54" s="43"/>
      <c r="N54" s="43"/>
    </row>
    <row r="55" spans="2:14" ht="15.6" x14ac:dyDescent="0.25">
      <c r="B55" s="53" t="s">
        <v>1195</v>
      </c>
      <c r="C55" s="15" t="s">
        <v>1175</v>
      </c>
      <c r="D55" s="23" t="s">
        <v>1602</v>
      </c>
      <c r="E55" s="23" t="s">
        <v>34</v>
      </c>
      <c r="F55" s="23">
        <v>10</v>
      </c>
      <c r="G55" s="41">
        <v>2625</v>
      </c>
      <c r="H55" s="18">
        <f>IF(E55="","",F55*G55)</f>
        <v>26250</v>
      </c>
      <c r="I55" s="44"/>
      <c r="K55" s="43">
        <f>_Place</f>
        <v>348</v>
      </c>
      <c r="L55" s="48">
        <f t="shared" si="3"/>
        <v>3480</v>
      </c>
      <c r="M55" s="43"/>
      <c r="N55" s="43"/>
    </row>
    <row r="56" spans="2:14" x14ac:dyDescent="0.25">
      <c r="B56" s="53"/>
      <c r="C56" s="15"/>
      <c r="D56" s="15"/>
      <c r="E56" s="23"/>
      <c r="F56" s="23"/>
      <c r="G56" s="41" t="s">
        <v>1556</v>
      </c>
      <c r="H56" s="18"/>
      <c r="I56" s="44"/>
      <c r="K56" s="43"/>
      <c r="L56" s="48" t="str">
        <f t="shared" si="3"/>
        <v/>
      </c>
      <c r="M56" s="43"/>
      <c r="N56" s="43"/>
    </row>
    <row r="57" spans="2:14" ht="15.6" x14ac:dyDescent="0.25">
      <c r="B57" s="53" t="s">
        <v>1196</v>
      </c>
      <c r="C57" s="15" t="s">
        <v>1176</v>
      </c>
      <c r="D57" s="23" t="s">
        <v>1602</v>
      </c>
      <c r="E57" s="23" t="s">
        <v>34</v>
      </c>
      <c r="F57" s="23">
        <v>21</v>
      </c>
      <c r="G57" s="41">
        <v>1890</v>
      </c>
      <c r="H57" s="18">
        <f>IF(E57="","",F57*G57)</f>
        <v>39690</v>
      </c>
      <c r="I57" s="44"/>
      <c r="K57" s="43">
        <f>_Place</f>
        <v>348</v>
      </c>
      <c r="L57" s="48">
        <f t="shared" si="3"/>
        <v>7308</v>
      </c>
      <c r="M57" s="43"/>
      <c r="N57" s="43"/>
    </row>
    <row r="58" spans="2:14" x14ac:dyDescent="0.25">
      <c r="B58" s="53"/>
      <c r="C58" s="15"/>
      <c r="D58" s="15"/>
      <c r="E58" s="23"/>
      <c r="F58" s="23"/>
      <c r="G58" s="41"/>
      <c r="H58" s="18"/>
      <c r="I58" s="44"/>
      <c r="K58" s="43"/>
      <c r="L58" s="48" t="str">
        <f t="shared" si="3"/>
        <v/>
      </c>
      <c r="M58" s="43"/>
      <c r="N58" s="43"/>
    </row>
    <row r="59" spans="2:14" x14ac:dyDescent="0.25">
      <c r="B59" s="53"/>
      <c r="C59" s="15"/>
      <c r="D59" s="15"/>
      <c r="E59" s="23"/>
      <c r="F59" s="23"/>
      <c r="G59" s="41"/>
      <c r="H59" s="18"/>
      <c r="I59" s="44"/>
      <c r="K59" s="43"/>
      <c r="L59" s="48" t="str">
        <f t="shared" si="3"/>
        <v/>
      </c>
      <c r="M59" s="43"/>
      <c r="N59" s="43"/>
    </row>
    <row r="60" spans="2:14" ht="12" customHeight="1" x14ac:dyDescent="0.25">
      <c r="B60" s="53"/>
      <c r="C60" s="15"/>
      <c r="D60" s="15"/>
      <c r="E60" s="23"/>
      <c r="F60" s="23"/>
      <c r="G60" s="211"/>
      <c r="H60" s="18" t="str">
        <f t="shared" si="2"/>
        <v/>
      </c>
      <c r="I60" s="44"/>
      <c r="K60" s="43"/>
      <c r="L60" s="48" t="str">
        <f t="shared" si="3"/>
        <v/>
      </c>
      <c r="M60" s="43"/>
      <c r="N60" s="43"/>
    </row>
    <row r="61" spans="2:14" x14ac:dyDescent="0.25">
      <c r="B61" s="53"/>
      <c r="C61" s="15"/>
      <c r="D61" s="15"/>
      <c r="E61" s="23"/>
      <c r="F61" s="23"/>
      <c r="G61" s="211"/>
      <c r="H61" s="18" t="str">
        <f t="shared" si="2"/>
        <v/>
      </c>
      <c r="I61" s="44"/>
      <c r="K61" s="43"/>
      <c r="L61" s="48" t="str">
        <f t="shared" si="3"/>
        <v/>
      </c>
      <c r="M61" s="43"/>
      <c r="N61" s="43"/>
    </row>
    <row r="62" spans="2:14" ht="12" customHeight="1" x14ac:dyDescent="0.25">
      <c r="B62" s="53"/>
      <c r="C62" s="15"/>
      <c r="D62" s="15"/>
      <c r="E62" s="23"/>
      <c r="F62" s="23"/>
      <c r="G62" s="211"/>
      <c r="H62" s="18" t="str">
        <f t="shared" si="2"/>
        <v/>
      </c>
      <c r="I62" s="44"/>
      <c r="K62" s="43"/>
      <c r="L62" s="48" t="str">
        <f t="shared" si="3"/>
        <v/>
      </c>
      <c r="M62" s="43"/>
      <c r="N62" s="43"/>
    </row>
    <row r="63" spans="2:14" s="31" customFormat="1" ht="19.5" customHeight="1" x14ac:dyDescent="0.25">
      <c r="B63" s="151" t="str">
        <f>$B$12</f>
        <v>1/C13.1</v>
      </c>
      <c r="C63" s="33" t="s">
        <v>957</v>
      </c>
      <c r="D63" s="33"/>
      <c r="E63" s="34"/>
      <c r="F63" s="35"/>
      <c r="G63" s="34"/>
      <c r="H63" s="36">
        <f>SUM(H10:H62)</f>
        <v>248876</v>
      </c>
      <c r="I63" s="37"/>
      <c r="L63" s="36">
        <f>SUM(L10:L62)</f>
        <v>59048</v>
      </c>
    </row>
  </sheetData>
  <mergeCells count="4">
    <mergeCell ref="F2:H2"/>
    <mergeCell ref="B6:G8"/>
    <mergeCell ref="H5:H8"/>
    <mergeCell ref="B5:G5"/>
  </mergeCells>
  <phoneticPr fontId="14" type="noConversion"/>
  <printOptions horizontalCentered="1"/>
  <pageMargins left="0.43307086614173229" right="0.31496062992125984" top="0.43307086614173229" bottom="0.62992125984251968" header="0.35433070866141736" footer="0.31496062992125984"/>
  <pageSetup paperSize="9" scale="79" firstPageNumber="175"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38238-2B9E-4134-ADF0-AECFE9C1D2B9}">
  <sheetPr codeName="Sheet27">
    <tabColor rgb="FF92D050"/>
  </sheetPr>
  <dimension ref="B1:N74"/>
  <sheetViews>
    <sheetView view="pageBreakPreview" topLeftCell="A5" zoomScale="85" zoomScaleNormal="125" zoomScaleSheetLayoutView="85" zoomScalePageLayoutView="125" workbookViewId="0">
      <selection activeCell="L25" sqref="L25"/>
    </sheetView>
  </sheetViews>
  <sheetFormatPr defaultColWidth="6.6640625" defaultRowHeight="13.2" x14ac:dyDescent="0.25"/>
  <cols>
    <col min="1" max="1" width="0.6640625" style="1" customWidth="1"/>
    <col min="2" max="2" width="11.5546875" style="38" customWidth="1"/>
    <col min="3" max="3" width="45.5546875" style="3" customWidth="1"/>
    <col min="4" max="4" width="4.554687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1" width="6.6640625" style="1"/>
    <col min="12" max="12" width="10.6640625" style="1" bestFit="1" customWidth="1"/>
    <col min="13" max="16384" width="6.6640625" style="1"/>
  </cols>
  <sheetData>
    <row r="1" spans="2:14" x14ac:dyDescent="0.25">
      <c r="H1" s="234">
        <f>MAX(H9:H498)</f>
        <v>333215</v>
      </c>
    </row>
    <row r="2" spans="2:14" x14ac:dyDescent="0.25">
      <c r="B2" s="2" t="str">
        <f>Client1</f>
        <v>Province of KwaZulu-Natal</v>
      </c>
      <c r="F2" s="510" t="str">
        <f>"Contract No. "&amp;ContractNo</f>
        <v>Contract No. ZNB02215/00000/00/HOD/INF/23/T</v>
      </c>
      <c r="G2" s="510"/>
      <c r="H2" s="510"/>
      <c r="K2" s="402"/>
      <c r="L2" s="402">
        <f>MAX(L3:L243)</f>
        <v>93462</v>
      </c>
      <c r="M2" s="402"/>
      <c r="N2" s="403"/>
    </row>
    <row r="3" spans="2:14" x14ac:dyDescent="0.25">
      <c r="B3" s="96" t="str">
        <f>Client2</f>
        <v>Department of Transport</v>
      </c>
      <c r="K3" s="1" t="s">
        <v>1421</v>
      </c>
      <c r="L3" s="1" t="s">
        <v>1422</v>
      </c>
      <c r="M3" s="1" t="s">
        <v>1423</v>
      </c>
      <c r="N3" s="1" t="s">
        <v>1424</v>
      </c>
    </row>
    <row r="4" spans="2:14" x14ac:dyDescent="0.25">
      <c r="B4" s="84"/>
      <c r="C4" s="84"/>
      <c r="D4" s="84"/>
      <c r="E4" s="85"/>
      <c r="F4" s="85"/>
      <c r="G4" s="86"/>
      <c r="H4" s="98"/>
      <c r="K4" s="86"/>
      <c r="L4" s="86"/>
      <c r="M4" s="86"/>
      <c r="N4" s="86"/>
    </row>
    <row r="5" spans="2:14" x14ac:dyDescent="0.25">
      <c r="B5" s="507" t="s">
        <v>8</v>
      </c>
      <c r="C5" s="508"/>
      <c r="D5" s="508"/>
      <c r="E5" s="508"/>
      <c r="F5" s="508"/>
      <c r="G5" s="508"/>
      <c r="H5" s="519" t="str">
        <f>"CHAPTER "&amp;B12</f>
        <v>CHAPTER 1/C13.2</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20"/>
      <c r="I6" s="9"/>
    </row>
    <row r="7" spans="2:14" ht="12.75" customHeight="1" x14ac:dyDescent="0.25">
      <c r="B7" s="500"/>
      <c r="C7" s="501"/>
      <c r="D7" s="501"/>
      <c r="E7" s="501"/>
      <c r="F7" s="501"/>
      <c r="G7" s="501"/>
      <c r="H7" s="520"/>
      <c r="I7" s="9"/>
    </row>
    <row r="8" spans="2:14" ht="7.5" customHeight="1" x14ac:dyDescent="0.25">
      <c r="B8" s="502"/>
      <c r="C8" s="503"/>
      <c r="D8" s="503"/>
      <c r="E8" s="503"/>
      <c r="F8" s="503"/>
      <c r="G8" s="503"/>
      <c r="H8" s="521"/>
      <c r="I8" s="9"/>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14"/>
      <c r="C10" s="225" t="s">
        <v>1177</v>
      </c>
      <c r="D10" s="492"/>
      <c r="E10" s="16"/>
      <c r="F10" s="16"/>
      <c r="G10" s="17"/>
      <c r="H10" s="18" t="str">
        <f t="shared" ref="H10:H56" si="0">IF(E10="","",F10*G10)</f>
        <v/>
      </c>
      <c r="I10" s="19"/>
      <c r="K10" s="17"/>
      <c r="L10" s="17"/>
      <c r="M10" s="17"/>
      <c r="N10" s="17"/>
    </row>
    <row r="11" spans="2:14" x14ac:dyDescent="0.25">
      <c r="B11" s="80"/>
      <c r="C11" s="21"/>
      <c r="D11" s="21"/>
      <c r="E11" s="23"/>
      <c r="F11" s="23"/>
      <c r="G11" s="43"/>
      <c r="H11" s="18"/>
      <c r="I11" s="44"/>
      <c r="K11" s="43"/>
      <c r="L11" s="43"/>
      <c r="M11" s="43"/>
      <c r="N11" s="43"/>
    </row>
    <row r="12" spans="2:14" ht="26.4" x14ac:dyDescent="0.25">
      <c r="B12" s="80" t="s">
        <v>1214</v>
      </c>
      <c r="C12" s="21" t="s">
        <v>418</v>
      </c>
      <c r="D12" s="23" t="s">
        <v>1602</v>
      </c>
      <c r="E12" s="23"/>
      <c r="F12" s="23"/>
      <c r="G12" s="43"/>
      <c r="H12" s="18" t="str">
        <f t="shared" si="0"/>
        <v/>
      </c>
      <c r="I12" s="44"/>
      <c r="K12" s="43"/>
      <c r="L12" s="43"/>
      <c r="M12" s="43"/>
      <c r="N12" s="43"/>
    </row>
    <row r="13" spans="2:14" x14ac:dyDescent="0.25">
      <c r="B13" s="53"/>
      <c r="C13" s="15"/>
      <c r="D13" s="15"/>
      <c r="E13" s="23"/>
      <c r="F13" s="23"/>
      <c r="G13" s="43"/>
      <c r="H13" s="18" t="str">
        <f t="shared" si="0"/>
        <v/>
      </c>
      <c r="I13" s="44"/>
      <c r="K13" s="25"/>
      <c r="L13" s="48" t="str">
        <f t="shared" ref="L13:L46" si="1">IF(K13="","",K13*F13)</f>
        <v/>
      </c>
      <c r="M13" s="25"/>
      <c r="N13" s="25"/>
    </row>
    <row r="14" spans="2:14" x14ac:dyDescent="0.25">
      <c r="B14" s="53" t="s">
        <v>1215</v>
      </c>
      <c r="C14" s="15" t="s">
        <v>1197</v>
      </c>
      <c r="D14" s="15"/>
      <c r="E14" s="23"/>
      <c r="F14" s="23"/>
      <c r="G14" s="43"/>
      <c r="H14" s="18" t="str">
        <f t="shared" si="0"/>
        <v/>
      </c>
      <c r="I14" s="44"/>
      <c r="K14" s="43"/>
      <c r="L14" s="48" t="str">
        <f t="shared" si="1"/>
        <v/>
      </c>
      <c r="M14" s="43"/>
      <c r="N14" s="43"/>
    </row>
    <row r="15" spans="2:14" x14ac:dyDescent="0.25">
      <c r="B15" s="53"/>
      <c r="C15" s="216"/>
      <c r="D15" s="216"/>
      <c r="E15" s="226"/>
      <c r="F15" s="227"/>
      <c r="G15" s="228"/>
      <c r="H15" s="18" t="str">
        <f t="shared" si="0"/>
        <v/>
      </c>
      <c r="I15" s="45"/>
      <c r="K15" s="43"/>
      <c r="L15" s="48" t="str">
        <f t="shared" si="1"/>
        <v/>
      </c>
      <c r="M15" s="43"/>
      <c r="N15" s="43"/>
    </row>
    <row r="16" spans="2:14" x14ac:dyDescent="0.25">
      <c r="B16" s="53"/>
      <c r="C16" s="216" t="s">
        <v>1198</v>
      </c>
      <c r="D16" s="216"/>
      <c r="E16" s="226"/>
      <c r="F16" s="227"/>
      <c r="G16" s="228"/>
      <c r="H16" s="18" t="str">
        <f t="shared" si="0"/>
        <v/>
      </c>
      <c r="I16" s="45"/>
      <c r="K16" s="43"/>
      <c r="L16" s="48" t="str">
        <f t="shared" si="1"/>
        <v/>
      </c>
      <c r="M16" s="43"/>
      <c r="N16" s="43"/>
    </row>
    <row r="17" spans="2:14" x14ac:dyDescent="0.25">
      <c r="B17" s="53"/>
      <c r="C17" s="216"/>
      <c r="D17" s="216"/>
      <c r="E17" s="226"/>
      <c r="F17" s="227"/>
      <c r="G17" s="228"/>
      <c r="H17" s="18" t="str">
        <f t="shared" si="0"/>
        <v/>
      </c>
      <c r="I17" s="45"/>
      <c r="K17" s="43"/>
      <c r="L17" s="48" t="str">
        <f t="shared" si="1"/>
        <v/>
      </c>
      <c r="M17" s="43"/>
      <c r="N17" s="43"/>
    </row>
    <row r="18" spans="2:14" x14ac:dyDescent="0.25">
      <c r="B18" s="53"/>
      <c r="C18" s="216" t="s">
        <v>1199</v>
      </c>
      <c r="D18" s="216"/>
      <c r="E18" s="226" t="s">
        <v>989</v>
      </c>
      <c r="F18" s="227">
        <v>116</v>
      </c>
      <c r="G18" s="25">
        <v>368</v>
      </c>
      <c r="H18" s="18">
        <f t="shared" si="0"/>
        <v>42688</v>
      </c>
      <c r="I18" s="45"/>
      <c r="K18" s="43">
        <v>111</v>
      </c>
      <c r="L18" s="48">
        <f t="shared" si="1"/>
        <v>12876</v>
      </c>
      <c r="M18" s="43"/>
      <c r="N18" s="43"/>
    </row>
    <row r="19" spans="2:14" x14ac:dyDescent="0.25">
      <c r="B19" s="53"/>
      <c r="C19" s="216"/>
      <c r="D19" s="216"/>
      <c r="E19" s="226"/>
      <c r="F19" s="227"/>
      <c r="G19" s="25" t="s">
        <v>1556</v>
      </c>
      <c r="H19" s="18" t="str">
        <f t="shared" si="0"/>
        <v/>
      </c>
      <c r="I19" s="45"/>
      <c r="K19" s="43"/>
      <c r="L19" s="48" t="str">
        <f t="shared" si="1"/>
        <v/>
      </c>
      <c r="M19" s="43"/>
      <c r="N19" s="43"/>
    </row>
    <row r="20" spans="2:14" x14ac:dyDescent="0.25">
      <c r="B20" s="53"/>
      <c r="C20" s="216" t="s">
        <v>1200</v>
      </c>
      <c r="D20" s="216"/>
      <c r="E20" s="226" t="s">
        <v>989</v>
      </c>
      <c r="F20" s="227">
        <v>68</v>
      </c>
      <c r="G20" s="25">
        <v>368</v>
      </c>
      <c r="H20" s="18">
        <f t="shared" si="0"/>
        <v>25024</v>
      </c>
      <c r="I20" s="45"/>
      <c r="K20" s="43">
        <v>111</v>
      </c>
      <c r="L20" s="48">
        <f t="shared" si="1"/>
        <v>7548</v>
      </c>
      <c r="M20" s="43"/>
      <c r="N20" s="43"/>
    </row>
    <row r="21" spans="2:14" x14ac:dyDescent="0.25">
      <c r="B21" s="53"/>
      <c r="C21" s="216"/>
      <c r="D21" s="216"/>
      <c r="E21" s="215"/>
      <c r="F21" s="227"/>
      <c r="G21" s="25" t="s">
        <v>1556</v>
      </c>
      <c r="H21" s="18" t="str">
        <f t="shared" si="0"/>
        <v/>
      </c>
      <c r="I21" s="45"/>
      <c r="K21" s="43"/>
      <c r="L21" s="48" t="str">
        <f t="shared" si="1"/>
        <v/>
      </c>
      <c r="M21" s="43"/>
      <c r="N21" s="43"/>
    </row>
    <row r="22" spans="2:14" x14ac:dyDescent="0.25">
      <c r="B22" s="53"/>
      <c r="C22" s="216" t="s">
        <v>1201</v>
      </c>
      <c r="D22" s="216"/>
      <c r="E22" s="226" t="s">
        <v>989</v>
      </c>
      <c r="F22" s="227">
        <v>92</v>
      </c>
      <c r="G22" s="25">
        <v>368</v>
      </c>
      <c r="H22" s="18">
        <f t="shared" si="0"/>
        <v>33856</v>
      </c>
      <c r="I22" s="45"/>
      <c r="K22" s="43">
        <v>111</v>
      </c>
      <c r="L22" s="48">
        <f t="shared" si="1"/>
        <v>10212</v>
      </c>
      <c r="M22" s="43"/>
      <c r="N22" s="43"/>
    </row>
    <row r="23" spans="2:14" x14ac:dyDescent="0.25">
      <c r="B23" s="53"/>
      <c r="C23" s="216"/>
      <c r="D23" s="216"/>
      <c r="E23" s="226"/>
      <c r="F23" s="227"/>
      <c r="G23" s="25" t="s">
        <v>1556</v>
      </c>
      <c r="H23" s="18" t="str">
        <f t="shared" si="0"/>
        <v/>
      </c>
      <c r="I23" s="45"/>
      <c r="K23" s="43"/>
      <c r="L23" s="48" t="str">
        <f t="shared" si="1"/>
        <v/>
      </c>
      <c r="M23" s="43"/>
      <c r="N23" s="43"/>
    </row>
    <row r="24" spans="2:14" x14ac:dyDescent="0.25">
      <c r="B24" s="53"/>
      <c r="C24" s="216" t="s">
        <v>1202</v>
      </c>
      <c r="D24" s="216"/>
      <c r="E24" s="226" t="s">
        <v>989</v>
      </c>
      <c r="F24" s="227">
        <v>7</v>
      </c>
      <c r="G24" s="25">
        <v>368</v>
      </c>
      <c r="H24" s="18">
        <f t="shared" si="0"/>
        <v>2576</v>
      </c>
      <c r="I24" s="45"/>
      <c r="K24" s="43">
        <v>111</v>
      </c>
      <c r="L24" s="48">
        <f t="shared" si="1"/>
        <v>777</v>
      </c>
      <c r="M24" s="43"/>
      <c r="N24" s="43"/>
    </row>
    <row r="25" spans="2:14" x14ac:dyDescent="0.25">
      <c r="B25" s="53"/>
      <c r="C25" s="216"/>
      <c r="D25" s="216"/>
      <c r="E25" s="215"/>
      <c r="F25" s="227"/>
      <c r="G25" s="25" t="s">
        <v>1556</v>
      </c>
      <c r="H25" s="18" t="str">
        <f t="shared" si="0"/>
        <v/>
      </c>
      <c r="I25" s="45"/>
      <c r="K25" s="43"/>
      <c r="L25" s="48" t="str">
        <f t="shared" si="1"/>
        <v/>
      </c>
      <c r="M25" s="43"/>
      <c r="N25" s="43"/>
    </row>
    <row r="26" spans="2:14" x14ac:dyDescent="0.25">
      <c r="B26" s="53"/>
      <c r="C26" s="216" t="s">
        <v>1203</v>
      </c>
      <c r="D26" s="216"/>
      <c r="E26" s="226" t="s">
        <v>989</v>
      </c>
      <c r="F26" s="227">
        <v>27</v>
      </c>
      <c r="G26" s="25">
        <v>368</v>
      </c>
      <c r="H26" s="18">
        <f t="shared" si="0"/>
        <v>9936</v>
      </c>
      <c r="I26" s="45"/>
      <c r="K26" s="43">
        <v>111</v>
      </c>
      <c r="L26" s="48">
        <f t="shared" si="1"/>
        <v>2997</v>
      </c>
      <c r="M26" s="43"/>
      <c r="N26" s="43"/>
    </row>
    <row r="27" spans="2:14" x14ac:dyDescent="0.25">
      <c r="B27" s="53"/>
      <c r="C27" s="216"/>
      <c r="D27" s="216"/>
      <c r="E27" s="226"/>
      <c r="F27" s="227"/>
      <c r="G27" s="25" t="s">
        <v>1556</v>
      </c>
      <c r="H27" s="18" t="str">
        <f t="shared" si="0"/>
        <v/>
      </c>
      <c r="I27" s="45"/>
      <c r="K27" s="43"/>
      <c r="L27" s="48" t="str">
        <f t="shared" si="1"/>
        <v/>
      </c>
      <c r="M27" s="43"/>
      <c r="N27" s="43"/>
    </row>
    <row r="28" spans="2:14" x14ac:dyDescent="0.25">
      <c r="B28" s="53"/>
      <c r="C28" s="216" t="s">
        <v>1204</v>
      </c>
      <c r="D28" s="216"/>
      <c r="E28" s="215"/>
      <c r="F28" s="227"/>
      <c r="G28" s="25" t="s">
        <v>1556</v>
      </c>
      <c r="H28" s="18" t="str">
        <f t="shared" si="0"/>
        <v/>
      </c>
      <c r="I28" s="45"/>
      <c r="K28" s="43"/>
      <c r="L28" s="48" t="str">
        <f t="shared" si="1"/>
        <v/>
      </c>
      <c r="M28" s="43"/>
      <c r="N28" s="43"/>
    </row>
    <row r="29" spans="2:14" x14ac:dyDescent="0.25">
      <c r="B29" s="53"/>
      <c r="C29" s="216"/>
      <c r="D29" s="216"/>
      <c r="E29" s="215"/>
      <c r="F29" s="227"/>
      <c r="G29" s="25" t="s">
        <v>1556</v>
      </c>
      <c r="H29" s="18" t="str">
        <f t="shared" si="0"/>
        <v/>
      </c>
      <c r="I29" s="45"/>
      <c r="K29" s="43"/>
      <c r="L29" s="48" t="str">
        <f t="shared" si="1"/>
        <v/>
      </c>
      <c r="M29" s="43"/>
      <c r="N29" s="43"/>
    </row>
    <row r="30" spans="2:14" x14ac:dyDescent="0.25">
      <c r="B30" s="53"/>
      <c r="C30" s="216" t="s">
        <v>1205</v>
      </c>
      <c r="D30" s="216"/>
      <c r="E30" s="226" t="s">
        <v>989</v>
      </c>
      <c r="F30" s="227">
        <v>204</v>
      </c>
      <c r="G30" s="25">
        <v>420</v>
      </c>
      <c r="H30" s="18">
        <f t="shared" si="0"/>
        <v>85680</v>
      </c>
      <c r="I30" s="45"/>
      <c r="K30" s="43">
        <v>111</v>
      </c>
      <c r="L30" s="48">
        <f t="shared" si="1"/>
        <v>22644</v>
      </c>
      <c r="M30" s="43"/>
      <c r="N30" s="43"/>
    </row>
    <row r="31" spans="2:14" x14ac:dyDescent="0.25">
      <c r="B31" s="53"/>
      <c r="C31" s="216"/>
      <c r="D31" s="216"/>
      <c r="E31" s="226"/>
      <c r="F31" s="227"/>
      <c r="G31" s="25" t="s">
        <v>1556</v>
      </c>
      <c r="H31" s="18" t="str">
        <f t="shared" si="0"/>
        <v/>
      </c>
      <c r="I31" s="45"/>
      <c r="K31" s="43"/>
      <c r="L31" s="48" t="str">
        <f t="shared" si="1"/>
        <v/>
      </c>
      <c r="M31" s="43"/>
      <c r="N31" s="43"/>
    </row>
    <row r="32" spans="2:14" x14ac:dyDescent="0.25">
      <c r="B32" s="53"/>
      <c r="C32" s="216" t="s">
        <v>1206</v>
      </c>
      <c r="D32" s="216"/>
      <c r="E32" s="226" t="s">
        <v>989</v>
      </c>
      <c r="F32" s="227">
        <v>107</v>
      </c>
      <c r="G32" s="25">
        <v>420</v>
      </c>
      <c r="H32" s="18">
        <f t="shared" si="0"/>
        <v>44940</v>
      </c>
      <c r="I32" s="45"/>
      <c r="K32" s="43">
        <v>111</v>
      </c>
      <c r="L32" s="48">
        <f t="shared" si="1"/>
        <v>11877</v>
      </c>
      <c r="M32" s="43"/>
      <c r="N32" s="43"/>
    </row>
    <row r="33" spans="2:14" x14ac:dyDescent="0.25">
      <c r="B33" s="53"/>
      <c r="C33" s="15"/>
      <c r="D33" s="15"/>
      <c r="E33" s="23"/>
      <c r="F33" s="24"/>
      <c r="G33" s="25" t="s">
        <v>1556</v>
      </c>
      <c r="H33" s="18" t="str">
        <f t="shared" si="0"/>
        <v/>
      </c>
      <c r="I33" s="45"/>
      <c r="K33" s="43"/>
      <c r="L33" s="48" t="str">
        <f t="shared" si="1"/>
        <v/>
      </c>
      <c r="M33" s="43"/>
      <c r="N33" s="43"/>
    </row>
    <row r="34" spans="2:14" x14ac:dyDescent="0.25">
      <c r="B34" s="53" t="s">
        <v>1216</v>
      </c>
      <c r="C34" s="15" t="s">
        <v>1207</v>
      </c>
      <c r="D34" s="15"/>
      <c r="E34" s="23"/>
      <c r="F34" s="24"/>
      <c r="G34" s="25" t="s">
        <v>1556</v>
      </c>
      <c r="H34" s="18" t="str">
        <f>IF(E34="","",F34*G34)</f>
        <v/>
      </c>
      <c r="I34" s="45"/>
      <c r="K34" s="43"/>
      <c r="L34" s="48" t="str">
        <f t="shared" si="1"/>
        <v/>
      </c>
      <c r="M34" s="43"/>
      <c r="N34" s="43"/>
    </row>
    <row r="35" spans="2:14" x14ac:dyDescent="0.25">
      <c r="B35" s="53"/>
      <c r="C35" s="15"/>
      <c r="D35" s="15"/>
      <c r="E35" s="23"/>
      <c r="F35" s="24"/>
      <c r="G35" s="25" t="s">
        <v>1556</v>
      </c>
      <c r="H35" s="18" t="str">
        <f t="shared" ref="H35:H51" si="2">IF(E35="","",F35*G35)</f>
        <v/>
      </c>
      <c r="I35" s="45"/>
      <c r="K35" s="43"/>
      <c r="L35" s="48" t="str">
        <f t="shared" si="1"/>
        <v/>
      </c>
      <c r="M35" s="43"/>
      <c r="N35" s="43"/>
    </row>
    <row r="36" spans="2:14" x14ac:dyDescent="0.25">
      <c r="B36" s="53"/>
      <c r="C36" s="15" t="s">
        <v>1208</v>
      </c>
      <c r="D36" s="15"/>
      <c r="E36" s="23"/>
      <c r="F36" s="24"/>
      <c r="G36" s="25" t="s">
        <v>1556</v>
      </c>
      <c r="H36" s="18" t="str">
        <f t="shared" si="2"/>
        <v/>
      </c>
      <c r="I36" s="45"/>
      <c r="K36" s="43"/>
      <c r="L36" s="48" t="str">
        <f t="shared" si="1"/>
        <v/>
      </c>
      <c r="M36" s="43"/>
      <c r="N36" s="43"/>
    </row>
    <row r="37" spans="2:14" x14ac:dyDescent="0.25">
      <c r="B37" s="53"/>
      <c r="C37" s="15"/>
      <c r="D37" s="15"/>
      <c r="E37" s="23"/>
      <c r="F37" s="24"/>
      <c r="G37" s="25" t="s">
        <v>1556</v>
      </c>
      <c r="H37" s="18" t="str">
        <f t="shared" si="2"/>
        <v/>
      </c>
      <c r="I37" s="45"/>
      <c r="K37" s="43"/>
      <c r="L37" s="48" t="str">
        <f t="shared" si="1"/>
        <v/>
      </c>
      <c r="M37" s="43"/>
      <c r="N37" s="43"/>
    </row>
    <row r="38" spans="2:14" ht="13.8" x14ac:dyDescent="0.25">
      <c r="B38" s="53"/>
      <c r="C38" s="15" t="s">
        <v>1209</v>
      </c>
      <c r="D38" s="15"/>
      <c r="E38" s="23" t="s">
        <v>989</v>
      </c>
      <c r="F38" s="24">
        <v>105</v>
      </c>
      <c r="G38" s="25">
        <v>263</v>
      </c>
      <c r="H38" s="18">
        <f t="shared" si="2"/>
        <v>27615</v>
      </c>
      <c r="I38" s="45"/>
      <c r="K38" s="43">
        <v>111</v>
      </c>
      <c r="L38" s="48">
        <f t="shared" si="1"/>
        <v>11655</v>
      </c>
      <c r="M38" s="43"/>
      <c r="N38" s="43"/>
    </row>
    <row r="39" spans="2:14" x14ac:dyDescent="0.25">
      <c r="B39" s="53"/>
      <c r="C39" s="15"/>
      <c r="D39" s="15"/>
      <c r="E39" s="23"/>
      <c r="F39" s="24"/>
      <c r="G39" s="25" t="s">
        <v>1556</v>
      </c>
      <c r="H39" s="18" t="str">
        <f t="shared" si="2"/>
        <v/>
      </c>
      <c r="I39" s="45"/>
      <c r="K39" s="43"/>
      <c r="L39" s="48" t="str">
        <f t="shared" si="1"/>
        <v/>
      </c>
      <c r="M39" s="43"/>
      <c r="N39" s="43"/>
    </row>
    <row r="40" spans="2:14" x14ac:dyDescent="0.25">
      <c r="B40" s="53" t="s">
        <v>1217</v>
      </c>
      <c r="C40" s="15" t="s">
        <v>1210</v>
      </c>
      <c r="D40" s="15"/>
      <c r="E40" s="23"/>
      <c r="F40" s="24"/>
      <c r="G40" s="25" t="s">
        <v>1556</v>
      </c>
      <c r="H40" s="18" t="str">
        <f t="shared" si="2"/>
        <v/>
      </c>
      <c r="I40" s="45"/>
      <c r="K40" s="43"/>
      <c r="L40" s="48" t="str">
        <f t="shared" si="1"/>
        <v/>
      </c>
      <c r="M40" s="43"/>
      <c r="N40" s="43"/>
    </row>
    <row r="41" spans="2:14" x14ac:dyDescent="0.25">
      <c r="B41" s="53"/>
      <c r="C41" s="15"/>
      <c r="D41" s="15"/>
      <c r="E41" s="23"/>
      <c r="F41" s="24"/>
      <c r="G41" s="25" t="s">
        <v>1556</v>
      </c>
      <c r="H41" s="18" t="str">
        <f t="shared" si="2"/>
        <v/>
      </c>
      <c r="I41" s="45"/>
      <c r="K41" s="43"/>
      <c r="L41" s="48" t="str">
        <f t="shared" si="1"/>
        <v/>
      </c>
      <c r="M41" s="43"/>
      <c r="N41" s="43"/>
    </row>
    <row r="42" spans="2:14" x14ac:dyDescent="0.25">
      <c r="B42" s="53"/>
      <c r="C42" s="15" t="s">
        <v>1211</v>
      </c>
      <c r="D42" s="15"/>
      <c r="E42" s="23"/>
      <c r="F42" s="24"/>
      <c r="G42" s="25" t="s">
        <v>1556</v>
      </c>
      <c r="H42" s="18" t="str">
        <f t="shared" si="2"/>
        <v/>
      </c>
      <c r="I42" s="45"/>
      <c r="K42" s="43"/>
      <c r="L42" s="48" t="str">
        <f t="shared" si="1"/>
        <v/>
      </c>
      <c r="M42" s="43"/>
      <c r="N42" s="43"/>
    </row>
    <row r="43" spans="2:14" x14ac:dyDescent="0.25">
      <c r="B43" s="53"/>
      <c r="C43" s="15"/>
      <c r="D43" s="15"/>
      <c r="E43" s="23"/>
      <c r="F43" s="24"/>
      <c r="G43" s="25" t="s">
        <v>1556</v>
      </c>
      <c r="H43" s="18" t="str">
        <f t="shared" si="2"/>
        <v/>
      </c>
      <c r="I43" s="45"/>
      <c r="K43" s="43"/>
      <c r="L43" s="48" t="str">
        <f t="shared" si="1"/>
        <v/>
      </c>
      <c r="M43" s="43"/>
      <c r="N43" s="43"/>
    </row>
    <row r="44" spans="2:14" ht="13.8" x14ac:dyDescent="0.25">
      <c r="B44" s="53"/>
      <c r="C44" s="15" t="s">
        <v>1212</v>
      </c>
      <c r="D44" s="15"/>
      <c r="E44" s="23" t="s">
        <v>989</v>
      </c>
      <c r="F44" s="24">
        <v>91</v>
      </c>
      <c r="G44" s="25">
        <v>525</v>
      </c>
      <c r="H44" s="18">
        <f t="shared" si="2"/>
        <v>47775</v>
      </c>
      <c r="I44" s="45"/>
      <c r="K44" s="43">
        <v>111</v>
      </c>
      <c r="L44" s="48">
        <f t="shared" si="1"/>
        <v>10101</v>
      </c>
      <c r="M44" s="43"/>
      <c r="N44" s="43"/>
    </row>
    <row r="45" spans="2:14" x14ac:dyDescent="0.25">
      <c r="B45" s="53"/>
      <c r="C45" s="15"/>
      <c r="D45" s="15"/>
      <c r="E45" s="23"/>
      <c r="F45" s="24"/>
      <c r="G45" s="25" t="s">
        <v>1556</v>
      </c>
      <c r="H45" s="18" t="str">
        <f t="shared" si="2"/>
        <v/>
      </c>
      <c r="I45" s="45"/>
      <c r="K45" s="43"/>
      <c r="L45" s="48" t="str">
        <f t="shared" si="1"/>
        <v/>
      </c>
      <c r="M45" s="43"/>
      <c r="N45" s="43"/>
    </row>
    <row r="46" spans="2:14" ht="13.8" x14ac:dyDescent="0.25">
      <c r="B46" s="53"/>
      <c r="C46" s="15" t="s">
        <v>1213</v>
      </c>
      <c r="D46" s="15"/>
      <c r="E46" s="23" t="s">
        <v>989</v>
      </c>
      <c r="F46" s="24">
        <v>25</v>
      </c>
      <c r="G46" s="25">
        <v>525</v>
      </c>
      <c r="H46" s="18">
        <f t="shared" si="2"/>
        <v>13125</v>
      </c>
      <c r="I46" s="45"/>
      <c r="K46" s="43">
        <v>111</v>
      </c>
      <c r="L46" s="48">
        <f t="shared" si="1"/>
        <v>2775</v>
      </c>
      <c r="M46" s="43"/>
      <c r="N46" s="43"/>
    </row>
    <row r="47" spans="2:14" x14ac:dyDescent="0.25">
      <c r="B47" s="53"/>
      <c r="C47" s="15"/>
      <c r="D47" s="15"/>
      <c r="E47" s="23"/>
      <c r="F47" s="24"/>
      <c r="G47" s="25"/>
      <c r="H47" s="18" t="str">
        <f t="shared" si="2"/>
        <v/>
      </c>
      <c r="I47" s="45"/>
      <c r="K47" s="43"/>
      <c r="L47" s="48" t="str">
        <f t="shared" ref="L47:L73" si="3">IF(K47="","",K47*F47)</f>
        <v/>
      </c>
      <c r="M47" s="43"/>
      <c r="N47" s="43"/>
    </row>
    <row r="48" spans="2:14" x14ac:dyDescent="0.25">
      <c r="B48" s="53"/>
      <c r="C48" s="15"/>
      <c r="D48" s="15"/>
      <c r="E48" s="23"/>
      <c r="F48" s="24"/>
      <c r="G48" s="25"/>
      <c r="H48" s="18" t="str">
        <f t="shared" si="2"/>
        <v/>
      </c>
      <c r="I48" s="45"/>
      <c r="K48" s="43"/>
      <c r="L48" s="48" t="str">
        <f t="shared" si="3"/>
        <v/>
      </c>
      <c r="M48" s="43"/>
      <c r="N48" s="43"/>
    </row>
    <row r="49" spans="2:14" x14ac:dyDescent="0.25">
      <c r="B49" s="53"/>
      <c r="C49" s="15"/>
      <c r="D49" s="15"/>
      <c r="E49" s="23"/>
      <c r="F49" s="24"/>
      <c r="G49" s="25"/>
      <c r="H49" s="18" t="str">
        <f t="shared" si="2"/>
        <v/>
      </c>
      <c r="I49" s="45"/>
      <c r="K49" s="43"/>
      <c r="L49" s="48" t="str">
        <f t="shared" si="3"/>
        <v/>
      </c>
      <c r="M49" s="43"/>
      <c r="N49" s="43"/>
    </row>
    <row r="50" spans="2:14" x14ac:dyDescent="0.25">
      <c r="B50" s="53"/>
      <c r="C50" s="15"/>
      <c r="D50" s="15"/>
      <c r="E50" s="23"/>
      <c r="F50" s="24"/>
      <c r="G50" s="43"/>
      <c r="H50" s="18" t="str">
        <f t="shared" si="2"/>
        <v/>
      </c>
      <c r="I50" s="44"/>
      <c r="K50" s="43"/>
      <c r="L50" s="48" t="str">
        <f t="shared" si="3"/>
        <v/>
      </c>
      <c r="M50" s="43"/>
      <c r="N50" s="43"/>
    </row>
    <row r="51" spans="2:14" x14ac:dyDescent="0.25">
      <c r="B51" s="53"/>
      <c r="C51" s="15"/>
      <c r="D51" s="15"/>
      <c r="E51" s="23"/>
      <c r="F51" s="24"/>
      <c r="G51" s="43"/>
      <c r="H51" s="18" t="str">
        <f t="shared" si="2"/>
        <v/>
      </c>
      <c r="I51" s="44"/>
      <c r="K51" s="43"/>
      <c r="L51" s="48" t="str">
        <f t="shared" si="3"/>
        <v/>
      </c>
      <c r="M51" s="43"/>
      <c r="N51" s="43"/>
    </row>
    <row r="52" spans="2:14" x14ac:dyDescent="0.25">
      <c r="B52" s="53"/>
      <c r="C52" s="15"/>
      <c r="D52" s="15"/>
      <c r="E52" s="23"/>
      <c r="F52" s="24"/>
      <c r="G52" s="46"/>
      <c r="H52" s="18" t="str">
        <f t="shared" si="0"/>
        <v/>
      </c>
      <c r="I52" s="44"/>
      <c r="K52" s="43"/>
      <c r="L52" s="48" t="str">
        <f t="shared" si="3"/>
        <v/>
      </c>
      <c r="M52" s="43"/>
      <c r="N52" s="43"/>
    </row>
    <row r="53" spans="2:14" x14ac:dyDescent="0.25">
      <c r="B53" s="14"/>
      <c r="C53" s="15"/>
      <c r="D53" s="15"/>
      <c r="E53" s="23"/>
      <c r="F53" s="23"/>
      <c r="G53" s="41"/>
      <c r="H53" s="18" t="str">
        <f t="shared" si="0"/>
        <v/>
      </c>
      <c r="I53" s="44"/>
      <c r="K53" s="43"/>
      <c r="L53" s="48" t="str">
        <f t="shared" si="3"/>
        <v/>
      </c>
      <c r="M53" s="43"/>
      <c r="N53" s="43"/>
    </row>
    <row r="54" spans="2:14" x14ac:dyDescent="0.25">
      <c r="B54" s="14"/>
      <c r="C54" s="15"/>
      <c r="D54" s="15"/>
      <c r="E54" s="23"/>
      <c r="F54" s="23"/>
      <c r="G54" s="41"/>
      <c r="H54" s="18" t="str">
        <f t="shared" si="0"/>
        <v/>
      </c>
      <c r="I54" s="44"/>
      <c r="K54" s="43"/>
      <c r="L54" s="48" t="str">
        <f t="shared" si="3"/>
        <v/>
      </c>
      <c r="M54" s="43"/>
      <c r="N54" s="43"/>
    </row>
    <row r="55" spans="2:14" x14ac:dyDescent="0.25">
      <c r="B55" s="22"/>
      <c r="C55" s="15"/>
      <c r="D55" s="15"/>
      <c r="E55" s="23"/>
      <c r="F55" s="23"/>
      <c r="G55" s="41"/>
      <c r="H55" s="18" t="str">
        <f t="shared" si="0"/>
        <v/>
      </c>
      <c r="I55" s="44"/>
      <c r="K55" s="43"/>
      <c r="L55" s="48" t="str">
        <f t="shared" si="3"/>
        <v/>
      </c>
      <c r="M55" s="43"/>
      <c r="N55" s="43"/>
    </row>
    <row r="56" spans="2:14" x14ac:dyDescent="0.25">
      <c r="B56" s="22"/>
      <c r="C56" s="15"/>
      <c r="D56" s="15"/>
      <c r="E56" s="23"/>
      <c r="F56" s="23"/>
      <c r="G56" s="41"/>
      <c r="H56" s="18" t="str">
        <f t="shared" si="0"/>
        <v/>
      </c>
      <c r="I56" s="44"/>
      <c r="K56" s="43"/>
      <c r="L56" s="48" t="str">
        <f t="shared" si="3"/>
        <v/>
      </c>
      <c r="M56" s="43"/>
      <c r="N56" s="43"/>
    </row>
    <row r="57" spans="2:14" x14ac:dyDescent="0.25">
      <c r="B57" s="22"/>
      <c r="C57" s="15"/>
      <c r="D57" s="15"/>
      <c r="E57" s="23"/>
      <c r="F57" s="23"/>
      <c r="G57" s="41"/>
      <c r="H57" s="18" t="str">
        <f t="shared" ref="H57:H73" si="4">IF(E57="","",F57*G57)</f>
        <v/>
      </c>
      <c r="I57" s="44"/>
      <c r="K57" s="43"/>
      <c r="L57" s="48" t="str">
        <f t="shared" si="3"/>
        <v/>
      </c>
      <c r="M57" s="43"/>
      <c r="N57" s="43"/>
    </row>
    <row r="58" spans="2:14" x14ac:dyDescent="0.25">
      <c r="B58" s="14"/>
      <c r="C58" s="15"/>
      <c r="D58" s="15"/>
      <c r="E58" s="23"/>
      <c r="F58" s="23"/>
      <c r="G58" s="41"/>
      <c r="H58" s="18" t="str">
        <f t="shared" si="4"/>
        <v/>
      </c>
      <c r="I58" s="44"/>
      <c r="K58" s="43"/>
      <c r="L58" s="48" t="str">
        <f t="shared" si="3"/>
        <v/>
      </c>
      <c r="M58" s="43"/>
      <c r="N58" s="43"/>
    </row>
    <row r="59" spans="2:14" x14ac:dyDescent="0.25">
      <c r="B59" s="14"/>
      <c r="C59" s="15"/>
      <c r="D59" s="15"/>
      <c r="E59" s="23"/>
      <c r="F59" s="23"/>
      <c r="G59" s="41"/>
      <c r="H59" s="18" t="str">
        <f t="shared" si="4"/>
        <v/>
      </c>
      <c r="I59" s="44"/>
      <c r="K59" s="43"/>
      <c r="L59" s="48" t="str">
        <f t="shared" si="3"/>
        <v/>
      </c>
      <c r="M59" s="43"/>
      <c r="N59" s="43"/>
    </row>
    <row r="60" spans="2:14" x14ac:dyDescent="0.25">
      <c r="B60" s="14"/>
      <c r="C60" s="15"/>
      <c r="D60" s="15"/>
      <c r="E60" s="23"/>
      <c r="F60" s="23"/>
      <c r="G60" s="41"/>
      <c r="H60" s="18" t="str">
        <f t="shared" si="4"/>
        <v/>
      </c>
      <c r="I60" s="44"/>
      <c r="K60" s="43"/>
      <c r="L60" s="48" t="str">
        <f t="shared" si="3"/>
        <v/>
      </c>
      <c r="M60" s="43"/>
      <c r="N60" s="43"/>
    </row>
    <row r="61" spans="2:14" x14ac:dyDescent="0.25">
      <c r="B61" s="14"/>
      <c r="C61" s="15"/>
      <c r="D61" s="15"/>
      <c r="E61" s="23"/>
      <c r="F61" s="23"/>
      <c r="G61" s="51"/>
      <c r="H61" s="18" t="str">
        <f t="shared" si="4"/>
        <v/>
      </c>
      <c r="I61" s="44"/>
      <c r="K61" s="43"/>
      <c r="L61" s="48" t="str">
        <f t="shared" si="3"/>
        <v/>
      </c>
      <c r="M61" s="43"/>
      <c r="N61" s="43"/>
    </row>
    <row r="62" spans="2:14" x14ac:dyDescent="0.25">
      <c r="B62" s="14"/>
      <c r="C62" s="15"/>
      <c r="D62" s="15"/>
      <c r="E62" s="23"/>
      <c r="F62" s="23"/>
      <c r="G62" s="51"/>
      <c r="H62" s="18" t="str">
        <f t="shared" si="4"/>
        <v/>
      </c>
      <c r="I62" s="44"/>
      <c r="K62" s="43"/>
      <c r="L62" s="48" t="str">
        <f t="shared" si="3"/>
        <v/>
      </c>
      <c r="M62" s="43"/>
      <c r="N62" s="43"/>
    </row>
    <row r="63" spans="2:14" x14ac:dyDescent="0.25">
      <c r="B63" s="14"/>
      <c r="C63" s="15"/>
      <c r="D63" s="15"/>
      <c r="E63" s="23"/>
      <c r="F63" s="23"/>
      <c r="G63" s="41"/>
      <c r="H63" s="18" t="str">
        <f t="shared" si="4"/>
        <v/>
      </c>
      <c r="I63" s="44"/>
      <c r="K63" s="43"/>
      <c r="L63" s="48" t="str">
        <f t="shared" si="3"/>
        <v/>
      </c>
      <c r="M63" s="43"/>
      <c r="N63" s="43"/>
    </row>
    <row r="64" spans="2:14" x14ac:dyDescent="0.25">
      <c r="B64" s="14"/>
      <c r="C64" s="15"/>
      <c r="D64" s="15"/>
      <c r="E64" s="23"/>
      <c r="F64" s="23"/>
      <c r="G64" s="41"/>
      <c r="H64" s="18" t="str">
        <f t="shared" si="4"/>
        <v/>
      </c>
      <c r="I64" s="44"/>
      <c r="K64" s="43"/>
      <c r="L64" s="48" t="str">
        <f t="shared" si="3"/>
        <v/>
      </c>
      <c r="M64" s="43"/>
      <c r="N64" s="43"/>
    </row>
    <row r="65" spans="2:14" x14ac:dyDescent="0.25">
      <c r="B65" s="14"/>
      <c r="C65" s="15"/>
      <c r="D65" s="15"/>
      <c r="E65" s="23"/>
      <c r="F65" s="23"/>
      <c r="G65" s="41"/>
      <c r="H65" s="18" t="str">
        <f t="shared" si="4"/>
        <v/>
      </c>
      <c r="I65" s="44"/>
      <c r="K65" s="43"/>
      <c r="L65" s="48" t="str">
        <f t="shared" si="3"/>
        <v/>
      </c>
      <c r="M65" s="43"/>
      <c r="N65" s="43"/>
    </row>
    <row r="66" spans="2:14" x14ac:dyDescent="0.25">
      <c r="B66" s="14"/>
      <c r="C66" s="15"/>
      <c r="D66" s="15"/>
      <c r="E66" s="23"/>
      <c r="F66" s="23"/>
      <c r="G66" s="41"/>
      <c r="H66" s="18" t="str">
        <f t="shared" si="4"/>
        <v/>
      </c>
      <c r="I66" s="44"/>
      <c r="K66" s="43"/>
      <c r="L66" s="48" t="str">
        <f t="shared" si="3"/>
        <v/>
      </c>
      <c r="M66" s="43"/>
      <c r="N66" s="43"/>
    </row>
    <row r="67" spans="2:14" x14ac:dyDescent="0.25">
      <c r="B67" s="14"/>
      <c r="C67" s="15"/>
      <c r="D67" s="15"/>
      <c r="E67" s="40"/>
      <c r="F67" s="40"/>
      <c r="G67" s="41"/>
      <c r="H67" s="18" t="str">
        <f t="shared" si="4"/>
        <v/>
      </c>
      <c r="K67" s="43"/>
      <c r="L67" s="48" t="str">
        <f t="shared" si="3"/>
        <v/>
      </c>
      <c r="M67" s="43"/>
      <c r="N67" s="43"/>
    </row>
    <row r="68" spans="2:14" x14ac:dyDescent="0.25">
      <c r="B68" s="14"/>
      <c r="C68" s="15"/>
      <c r="D68" s="15"/>
      <c r="E68" s="23"/>
      <c r="F68" s="23"/>
      <c r="G68" s="41"/>
      <c r="H68" s="18" t="str">
        <f t="shared" si="4"/>
        <v/>
      </c>
      <c r="I68" s="44"/>
      <c r="K68" s="43"/>
      <c r="L68" s="48" t="str">
        <f t="shared" si="3"/>
        <v/>
      </c>
      <c r="M68" s="43"/>
      <c r="N68" s="43"/>
    </row>
    <row r="69" spans="2:14" x14ac:dyDescent="0.25">
      <c r="B69" s="14"/>
      <c r="C69" s="15"/>
      <c r="D69" s="15"/>
      <c r="E69" s="40"/>
      <c r="F69" s="40"/>
      <c r="G69" s="41"/>
      <c r="H69" s="18" t="str">
        <f t="shared" si="4"/>
        <v/>
      </c>
      <c r="I69" s="52"/>
      <c r="K69" s="43"/>
      <c r="L69" s="48" t="str">
        <f t="shared" si="3"/>
        <v/>
      </c>
      <c r="M69" s="43"/>
      <c r="N69" s="43"/>
    </row>
    <row r="70" spans="2:14" x14ac:dyDescent="0.25">
      <c r="B70" s="14"/>
      <c r="C70" s="15"/>
      <c r="D70" s="15"/>
      <c r="E70" s="40"/>
      <c r="F70" s="40"/>
      <c r="G70" s="41"/>
      <c r="H70" s="18" t="str">
        <f t="shared" si="4"/>
        <v/>
      </c>
      <c r="K70" s="43"/>
      <c r="L70" s="48" t="str">
        <f t="shared" si="3"/>
        <v/>
      </c>
      <c r="M70" s="43"/>
      <c r="N70" s="43"/>
    </row>
    <row r="71" spans="2:14" x14ac:dyDescent="0.25">
      <c r="B71" s="14"/>
      <c r="C71" s="15"/>
      <c r="D71" s="15"/>
      <c r="E71" s="23"/>
      <c r="F71" s="23"/>
      <c r="G71" s="41"/>
      <c r="H71" s="18" t="str">
        <f t="shared" si="4"/>
        <v/>
      </c>
      <c r="I71" s="44"/>
      <c r="K71" s="43"/>
      <c r="L71" s="48" t="str">
        <f t="shared" si="3"/>
        <v/>
      </c>
      <c r="M71" s="43"/>
      <c r="N71" s="43"/>
    </row>
    <row r="72" spans="2:14" x14ac:dyDescent="0.25">
      <c r="B72" s="14"/>
      <c r="C72" s="15"/>
      <c r="D72" s="15"/>
      <c r="E72" s="23"/>
      <c r="F72" s="23"/>
      <c r="G72" s="41"/>
      <c r="H72" s="18" t="str">
        <f t="shared" si="4"/>
        <v/>
      </c>
      <c r="I72" s="44"/>
      <c r="K72" s="43"/>
      <c r="L72" s="48" t="str">
        <f t="shared" si="3"/>
        <v/>
      </c>
      <c r="M72" s="43"/>
      <c r="N72" s="43"/>
    </row>
    <row r="73" spans="2:14" x14ac:dyDescent="0.25">
      <c r="B73" s="14"/>
      <c r="C73" s="15"/>
      <c r="D73" s="15"/>
      <c r="E73" s="23"/>
      <c r="F73" s="23"/>
      <c r="G73" s="41"/>
      <c r="H73" s="18" t="str">
        <f t="shared" si="4"/>
        <v/>
      </c>
      <c r="I73" s="44"/>
      <c r="K73" s="43"/>
      <c r="L73" s="48" t="str">
        <f t="shared" si="3"/>
        <v/>
      </c>
      <c r="M73" s="43"/>
      <c r="N73" s="43"/>
    </row>
    <row r="74" spans="2:14" s="31" customFormat="1" ht="24.75" customHeight="1" x14ac:dyDescent="0.25">
      <c r="B74" s="164" t="str">
        <f>$B$12</f>
        <v>1/C13.2</v>
      </c>
      <c r="C74" s="33" t="s">
        <v>957</v>
      </c>
      <c r="D74" s="33"/>
      <c r="E74" s="34"/>
      <c r="F74" s="35"/>
      <c r="G74" s="34"/>
      <c r="H74" s="36">
        <f>SUM(H10:H73)</f>
        <v>333215</v>
      </c>
      <c r="I74" s="37"/>
      <c r="L74" s="36">
        <f>SUM(L10:L73)</f>
        <v>93462</v>
      </c>
    </row>
  </sheetData>
  <mergeCells count="4">
    <mergeCell ref="F2:H2"/>
    <mergeCell ref="B6:G8"/>
    <mergeCell ref="H5:H8"/>
    <mergeCell ref="B5:G5"/>
  </mergeCells>
  <dataValidations count="1">
    <dataValidation type="custom" allowBlank="1" showInputMessage="1" showErrorMessage="1" errorTitle="Invalid rate" error="A value with an invalid decimal part_x000a_was entered." sqref="G18:G32 G44:G46" xr:uid="{C91EB6DA-4AE8-40C2-8753-323B95478C7A}">
      <formula1>(G18)-TRUNC(G18,2)=0</formula1>
    </dataValidation>
  </dataValidations>
  <printOptions horizontalCentered="1"/>
  <pageMargins left="0.43307086614173229" right="0.31496062992125984" top="0.43307086614173229" bottom="0.62992125984251968" header="0.35433070866141736" footer="0.31496062992125984"/>
  <pageSetup paperSize="9" scale="79"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E0AAF-2DD0-4E60-884A-265A3AA884B6}">
  <sheetPr codeName="Sheet28">
    <tabColor rgb="FF92D050"/>
  </sheetPr>
  <dimension ref="A1:N75"/>
  <sheetViews>
    <sheetView view="pageBreakPreview" zoomScaleNormal="125" zoomScaleSheetLayoutView="100" zoomScalePageLayoutView="125" workbookViewId="0">
      <selection activeCell="L25" sqref="L25"/>
    </sheetView>
  </sheetViews>
  <sheetFormatPr defaultColWidth="6.6640625" defaultRowHeight="13.2" x14ac:dyDescent="0.25"/>
  <cols>
    <col min="1" max="1" width="0.6640625" style="1" customWidth="1"/>
    <col min="2" max="2" width="11.5546875" style="38" customWidth="1"/>
    <col min="3" max="3" width="45.5546875" style="3" customWidth="1"/>
    <col min="4" max="4" width="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0" width="6.6640625" style="1"/>
    <col min="11" max="11" width="7.44140625" style="1" bestFit="1" customWidth="1"/>
    <col min="12" max="12" width="10.6640625" style="1" bestFit="1" customWidth="1"/>
    <col min="13" max="16384" width="6.6640625" style="1"/>
  </cols>
  <sheetData>
    <row r="1" spans="1:14" x14ac:dyDescent="0.25">
      <c r="H1" s="234">
        <f>MAX(H9:H498)</f>
        <v>1391250</v>
      </c>
    </row>
    <row r="2" spans="1:14" x14ac:dyDescent="0.25">
      <c r="B2" s="2" t="str">
        <f>Client1</f>
        <v>Province of KwaZulu-Natal</v>
      </c>
      <c r="F2" s="510" t="str">
        <f>"Contract No. "&amp;ContractNo</f>
        <v>Contract No. ZNB02215/00000/00/HOD/INF/23/T</v>
      </c>
      <c r="G2" s="510"/>
      <c r="H2" s="510"/>
      <c r="K2" s="402"/>
      <c r="L2" s="402">
        <f>MAX(L3:L243)</f>
        <v>27825</v>
      </c>
      <c r="M2" s="402"/>
      <c r="N2" s="403"/>
    </row>
    <row r="3" spans="1:14" x14ac:dyDescent="0.25">
      <c r="B3" s="96" t="str">
        <f>Client2</f>
        <v>Department of Transport</v>
      </c>
      <c r="K3" s="1" t="s">
        <v>1421</v>
      </c>
      <c r="L3" s="1" t="s">
        <v>1422</v>
      </c>
      <c r="M3" s="1" t="s">
        <v>1423</v>
      </c>
      <c r="N3" s="1" t="s">
        <v>1424</v>
      </c>
    </row>
    <row r="4" spans="1:14" x14ac:dyDescent="0.25">
      <c r="B4" s="84"/>
      <c r="C4" s="84"/>
      <c r="D4" s="84"/>
      <c r="E4" s="85"/>
      <c r="F4" s="85"/>
      <c r="G4" s="86"/>
      <c r="H4" s="98"/>
      <c r="K4" s="86"/>
      <c r="L4" s="86"/>
      <c r="M4" s="86"/>
      <c r="N4" s="86"/>
    </row>
    <row r="5" spans="1:14" x14ac:dyDescent="0.25">
      <c r="B5" s="507" t="s">
        <v>8</v>
      </c>
      <c r="C5" s="508"/>
      <c r="D5" s="508"/>
      <c r="E5" s="508"/>
      <c r="F5" s="508"/>
      <c r="G5" s="508"/>
      <c r="H5" s="519" t="str">
        <f>"CHAPTER "&amp;B12</f>
        <v>CHAPTER 1/C13.3</v>
      </c>
      <c r="I5" s="6"/>
    </row>
    <row r="6" spans="1:14" ht="7.5" customHeight="1" x14ac:dyDescent="0.25">
      <c r="B6" s="500" t="str">
        <f>ContractDescription</f>
        <v>UPGRADING OF MAIN ROAD P8/3 FROM GRAVEL TO BLACKTOP BETWEEN KM 17.560 AND KM 24.221 IN THE PIETERMARITZBURG REGION</v>
      </c>
      <c r="C6" s="501"/>
      <c r="D6" s="501"/>
      <c r="E6" s="501"/>
      <c r="F6" s="501"/>
      <c r="G6" s="501"/>
      <c r="H6" s="520"/>
      <c r="I6" s="9"/>
    </row>
    <row r="7" spans="1:14" ht="12.75" customHeight="1" x14ac:dyDescent="0.25">
      <c r="B7" s="500"/>
      <c r="C7" s="501"/>
      <c r="D7" s="501"/>
      <c r="E7" s="501"/>
      <c r="F7" s="501"/>
      <c r="G7" s="501"/>
      <c r="H7" s="520"/>
      <c r="I7" s="9"/>
    </row>
    <row r="8" spans="1:14" ht="7.5" customHeight="1" x14ac:dyDescent="0.25">
      <c r="B8" s="502"/>
      <c r="C8" s="503"/>
      <c r="D8" s="503"/>
      <c r="E8" s="503"/>
      <c r="F8" s="503"/>
      <c r="G8" s="503"/>
      <c r="H8" s="521"/>
      <c r="I8" s="9"/>
    </row>
    <row r="9" spans="1:14" s="10" customFormat="1" ht="25.2" customHeight="1" x14ac:dyDescent="0.25">
      <c r="B9" s="11" t="s">
        <v>0</v>
      </c>
      <c r="C9" s="12" t="s">
        <v>1</v>
      </c>
      <c r="D9" s="12" t="s">
        <v>1602</v>
      </c>
      <c r="E9" s="12" t="s">
        <v>2</v>
      </c>
      <c r="F9" s="12" t="s">
        <v>3</v>
      </c>
      <c r="G9" s="12" t="s">
        <v>4</v>
      </c>
      <c r="H9" s="12" t="s">
        <v>5</v>
      </c>
      <c r="I9" s="13"/>
      <c r="K9" s="12"/>
      <c r="L9" s="12"/>
      <c r="M9" s="12"/>
      <c r="N9" s="12"/>
    </row>
    <row r="10" spans="1:14" x14ac:dyDescent="0.25">
      <c r="A10" s="5"/>
      <c r="B10" s="53"/>
      <c r="C10" s="229" t="s">
        <v>1177</v>
      </c>
      <c r="D10" s="492"/>
      <c r="E10" s="16"/>
      <c r="F10" s="16"/>
      <c r="G10" s="17"/>
      <c r="H10" s="18" t="str">
        <f t="shared" ref="H10:H42" si="0">IF(E10="","",F10*G10)</f>
        <v/>
      </c>
      <c r="I10" s="19"/>
      <c r="K10" s="17"/>
      <c r="L10" s="17"/>
      <c r="M10" s="17"/>
      <c r="N10" s="17"/>
    </row>
    <row r="11" spans="1:14" x14ac:dyDescent="0.25">
      <c r="A11" s="5"/>
      <c r="B11" s="53"/>
      <c r="C11" s="15"/>
      <c r="D11" s="15"/>
      <c r="E11" s="16"/>
      <c r="F11" s="16"/>
      <c r="G11" s="17"/>
      <c r="H11" s="18"/>
      <c r="I11" s="19"/>
      <c r="K11" s="43"/>
      <c r="L11" s="43"/>
      <c r="M11" s="43"/>
      <c r="N11" s="43"/>
    </row>
    <row r="12" spans="1:14" x14ac:dyDescent="0.25">
      <c r="A12" s="5"/>
      <c r="B12" s="80" t="s">
        <v>1227</v>
      </c>
      <c r="C12" s="21" t="s">
        <v>419</v>
      </c>
      <c r="D12" s="23" t="s">
        <v>1602</v>
      </c>
      <c r="E12" s="23"/>
      <c r="F12" s="23"/>
      <c r="G12" s="43"/>
      <c r="H12" s="18" t="str">
        <f t="shared" si="0"/>
        <v/>
      </c>
      <c r="I12" s="44"/>
      <c r="K12" s="43"/>
      <c r="L12" s="43"/>
      <c r="M12" s="43"/>
      <c r="N12" s="43"/>
    </row>
    <row r="13" spans="1:14" x14ac:dyDescent="0.25">
      <c r="A13" s="5"/>
      <c r="B13" s="53"/>
      <c r="C13" s="15"/>
      <c r="D13" s="15"/>
      <c r="E13" s="23"/>
      <c r="F13" s="23"/>
      <c r="G13" s="43"/>
      <c r="H13" s="18" t="str">
        <f t="shared" si="0"/>
        <v/>
      </c>
      <c r="I13" s="44"/>
      <c r="K13" s="25"/>
      <c r="L13" s="48" t="str">
        <f t="shared" ref="L13:L46" si="1">IF(K13="","",K13*F13)</f>
        <v/>
      </c>
      <c r="M13" s="25"/>
      <c r="N13" s="25"/>
    </row>
    <row r="14" spans="1:14" x14ac:dyDescent="0.25">
      <c r="A14" s="5"/>
      <c r="B14" s="53" t="s">
        <v>1228</v>
      </c>
      <c r="C14" s="15" t="s">
        <v>420</v>
      </c>
      <c r="D14" s="15"/>
      <c r="E14" s="23"/>
      <c r="F14" s="23"/>
      <c r="G14" s="43"/>
      <c r="H14" s="18" t="str">
        <f t="shared" si="0"/>
        <v/>
      </c>
      <c r="I14" s="44"/>
      <c r="K14" s="43"/>
      <c r="L14" s="48" t="str">
        <f t="shared" si="1"/>
        <v/>
      </c>
      <c r="M14" s="43"/>
      <c r="N14" s="43"/>
    </row>
    <row r="15" spans="1:14" x14ac:dyDescent="0.25">
      <c r="A15" s="5"/>
      <c r="B15" s="53"/>
      <c r="C15" s="15"/>
      <c r="D15" s="15"/>
      <c r="E15" s="23"/>
      <c r="F15" s="23"/>
      <c r="G15" s="43"/>
      <c r="H15" s="18" t="str">
        <f t="shared" si="0"/>
        <v/>
      </c>
      <c r="I15" s="44"/>
      <c r="K15" s="43"/>
      <c r="L15" s="48" t="str">
        <f t="shared" si="1"/>
        <v/>
      </c>
      <c r="M15" s="43"/>
      <c r="N15" s="43"/>
    </row>
    <row r="16" spans="1:14" x14ac:dyDescent="0.25">
      <c r="A16" s="5"/>
      <c r="B16" s="53" t="s">
        <v>1229</v>
      </c>
      <c r="C16" s="15" t="s">
        <v>1222</v>
      </c>
      <c r="D16" s="15"/>
      <c r="E16" s="23"/>
      <c r="F16" s="24"/>
      <c r="G16" s="25"/>
      <c r="H16" s="18" t="str">
        <f t="shared" si="0"/>
        <v/>
      </c>
      <c r="I16" s="45"/>
      <c r="K16" s="43"/>
      <c r="L16" s="48" t="str">
        <f t="shared" si="1"/>
        <v/>
      </c>
      <c r="M16" s="43"/>
      <c r="N16" s="43"/>
    </row>
    <row r="17" spans="1:14" x14ac:dyDescent="0.25">
      <c r="A17" s="5"/>
      <c r="B17" s="53"/>
      <c r="C17" s="15"/>
      <c r="D17" s="15"/>
      <c r="E17" s="23"/>
      <c r="F17" s="24"/>
      <c r="G17" s="25"/>
      <c r="H17" s="18" t="str">
        <f t="shared" si="0"/>
        <v/>
      </c>
      <c r="I17" s="45"/>
      <c r="K17" s="43"/>
      <c r="L17" s="48" t="str">
        <f t="shared" si="1"/>
        <v/>
      </c>
      <c r="M17" s="43"/>
      <c r="N17" s="43"/>
    </row>
    <row r="18" spans="1:14" x14ac:dyDescent="0.25">
      <c r="A18" s="5"/>
      <c r="B18" s="53"/>
      <c r="C18" s="15" t="s">
        <v>1226</v>
      </c>
      <c r="D18" s="15"/>
      <c r="E18" s="23" t="s">
        <v>7</v>
      </c>
      <c r="F18" s="24">
        <v>14</v>
      </c>
      <c r="G18" s="25">
        <v>26250</v>
      </c>
      <c r="H18" s="18">
        <f t="shared" si="0"/>
        <v>367500</v>
      </c>
      <c r="I18" s="45"/>
      <c r="K18" s="459">
        <f>G18*2%</f>
        <v>525</v>
      </c>
      <c r="L18" s="48">
        <f t="shared" si="1"/>
        <v>7350</v>
      </c>
      <c r="M18" s="43"/>
      <c r="N18" s="43"/>
    </row>
    <row r="19" spans="1:14" x14ac:dyDescent="0.25">
      <c r="A19" s="5"/>
      <c r="B19" s="53"/>
      <c r="C19" s="15"/>
      <c r="D19" s="15"/>
      <c r="E19" s="23"/>
      <c r="F19" s="24"/>
      <c r="G19" s="25" t="s">
        <v>1556</v>
      </c>
      <c r="H19" s="18" t="str">
        <f t="shared" si="0"/>
        <v/>
      </c>
      <c r="I19" s="45"/>
      <c r="K19" s="43"/>
      <c r="L19" s="48" t="str">
        <f t="shared" si="1"/>
        <v/>
      </c>
      <c r="M19" s="43"/>
      <c r="N19" s="43"/>
    </row>
    <row r="20" spans="1:14" x14ac:dyDescent="0.25">
      <c r="A20" s="5"/>
      <c r="B20" s="53"/>
      <c r="C20" s="15" t="s">
        <v>1223</v>
      </c>
      <c r="D20" s="15"/>
      <c r="E20" s="23"/>
      <c r="G20" s="25" t="s">
        <v>1556</v>
      </c>
      <c r="H20" s="18" t="str">
        <f t="shared" si="0"/>
        <v/>
      </c>
      <c r="I20" s="45"/>
      <c r="K20" s="43"/>
      <c r="L20" s="48" t="str">
        <f t="shared" si="1"/>
        <v/>
      </c>
      <c r="M20" s="43"/>
      <c r="N20" s="43"/>
    </row>
    <row r="21" spans="1:14" x14ac:dyDescent="0.25">
      <c r="A21" s="5"/>
      <c r="B21" s="53"/>
      <c r="C21" s="15"/>
      <c r="D21" s="15"/>
      <c r="E21" s="23"/>
      <c r="G21" s="25" t="s">
        <v>1556</v>
      </c>
      <c r="H21" s="18" t="str">
        <f t="shared" si="0"/>
        <v/>
      </c>
      <c r="I21" s="45"/>
      <c r="K21" s="43"/>
      <c r="L21" s="48" t="str">
        <f t="shared" si="1"/>
        <v/>
      </c>
      <c r="M21" s="43"/>
      <c r="N21" s="43"/>
    </row>
    <row r="22" spans="1:14" x14ac:dyDescent="0.25">
      <c r="A22" s="5"/>
      <c r="B22" s="53"/>
      <c r="C22" s="15" t="s">
        <v>1226</v>
      </c>
      <c r="D22" s="15"/>
      <c r="E22" s="23" t="s">
        <v>7</v>
      </c>
      <c r="F22" s="24">
        <v>16</v>
      </c>
      <c r="G22" s="25">
        <v>26250</v>
      </c>
      <c r="H22" s="18">
        <f t="shared" si="0"/>
        <v>420000</v>
      </c>
      <c r="I22" s="44"/>
      <c r="K22" s="459">
        <f>G22*2%</f>
        <v>525</v>
      </c>
      <c r="L22" s="48">
        <f t="shared" si="1"/>
        <v>8400</v>
      </c>
      <c r="M22" s="43"/>
      <c r="N22" s="43"/>
    </row>
    <row r="23" spans="1:14" x14ac:dyDescent="0.25">
      <c r="A23" s="5"/>
      <c r="B23" s="53"/>
      <c r="C23" s="15"/>
      <c r="D23" s="15"/>
      <c r="E23" s="23"/>
      <c r="F23" s="24"/>
      <c r="G23" s="43" t="s">
        <v>1556</v>
      </c>
      <c r="H23" s="18" t="str">
        <f t="shared" si="0"/>
        <v/>
      </c>
      <c r="I23" s="44"/>
      <c r="K23" s="43"/>
      <c r="L23" s="48" t="str">
        <f t="shared" si="1"/>
        <v/>
      </c>
      <c r="M23" s="43"/>
      <c r="N23" s="43"/>
    </row>
    <row r="24" spans="1:14" x14ac:dyDescent="0.25">
      <c r="A24" s="5"/>
      <c r="B24" s="53"/>
      <c r="C24" s="15" t="s">
        <v>1224</v>
      </c>
      <c r="D24" s="15"/>
      <c r="E24" s="23"/>
      <c r="G24" s="46" t="s">
        <v>1556</v>
      </c>
      <c r="H24" s="18" t="str">
        <f t="shared" si="0"/>
        <v/>
      </c>
      <c r="I24" s="44"/>
      <c r="K24" s="43"/>
      <c r="L24" s="48" t="str">
        <f t="shared" si="1"/>
        <v/>
      </c>
      <c r="M24" s="43"/>
      <c r="N24" s="43"/>
    </row>
    <row r="25" spans="1:14" x14ac:dyDescent="0.25">
      <c r="A25" s="5"/>
      <c r="B25" s="53"/>
      <c r="C25" s="15"/>
      <c r="D25" s="15"/>
      <c r="E25" s="23"/>
      <c r="G25" s="46" t="s">
        <v>1556</v>
      </c>
      <c r="H25" s="18" t="str">
        <f t="shared" si="0"/>
        <v/>
      </c>
      <c r="I25" s="44"/>
      <c r="K25" s="43"/>
      <c r="L25" s="48" t="str">
        <f t="shared" si="1"/>
        <v/>
      </c>
      <c r="M25" s="43"/>
      <c r="N25" s="43"/>
    </row>
    <row r="26" spans="1:14" x14ac:dyDescent="0.25">
      <c r="A26" s="5"/>
      <c r="B26" s="53"/>
      <c r="C26" s="15" t="s">
        <v>1226</v>
      </c>
      <c r="D26" s="15"/>
      <c r="E26" s="23" t="s">
        <v>7</v>
      </c>
      <c r="F26" s="24">
        <v>4</v>
      </c>
      <c r="G26" s="25">
        <v>26250</v>
      </c>
      <c r="H26" s="18">
        <f t="shared" si="0"/>
        <v>105000</v>
      </c>
      <c r="K26" s="459">
        <f>G26*2%</f>
        <v>525</v>
      </c>
      <c r="L26" s="48">
        <f t="shared" si="1"/>
        <v>2100</v>
      </c>
      <c r="M26" s="43"/>
      <c r="N26" s="43"/>
    </row>
    <row r="27" spans="1:14" x14ac:dyDescent="0.25">
      <c r="A27" s="5"/>
      <c r="B27" s="53"/>
      <c r="C27" s="1"/>
      <c r="D27" s="48"/>
      <c r="E27" s="23"/>
      <c r="F27" s="24"/>
      <c r="G27" s="48" t="s">
        <v>1556</v>
      </c>
      <c r="H27" s="18" t="str">
        <f t="shared" si="0"/>
        <v/>
      </c>
      <c r="K27" s="43"/>
      <c r="L27" s="48" t="str">
        <f t="shared" si="1"/>
        <v/>
      </c>
      <c r="M27" s="43"/>
      <c r="N27" s="43"/>
    </row>
    <row r="28" spans="1:14" x14ac:dyDescent="0.25">
      <c r="A28" s="5"/>
      <c r="B28" s="53"/>
      <c r="C28" s="15" t="s">
        <v>1225</v>
      </c>
      <c r="D28" s="15"/>
      <c r="E28" s="23"/>
      <c r="G28" s="41" t="s">
        <v>1556</v>
      </c>
      <c r="H28" s="18" t="str">
        <f t="shared" si="0"/>
        <v/>
      </c>
      <c r="K28" s="43"/>
      <c r="L28" s="48" t="str">
        <f t="shared" si="1"/>
        <v/>
      </c>
      <c r="M28" s="43"/>
      <c r="N28" s="43"/>
    </row>
    <row r="29" spans="1:14" x14ac:dyDescent="0.25">
      <c r="A29" s="5"/>
      <c r="B29" s="53"/>
      <c r="C29" s="15"/>
      <c r="D29" s="15"/>
      <c r="E29" s="23"/>
      <c r="F29" s="24"/>
      <c r="G29" s="48" t="s">
        <v>1556</v>
      </c>
      <c r="H29" s="18" t="str">
        <f t="shared" si="0"/>
        <v/>
      </c>
      <c r="K29" s="43"/>
      <c r="L29" s="48" t="str">
        <f t="shared" si="1"/>
        <v/>
      </c>
      <c r="M29" s="43"/>
      <c r="N29" s="43"/>
    </row>
    <row r="30" spans="1:14" x14ac:dyDescent="0.25">
      <c r="A30" s="5"/>
      <c r="B30" s="53"/>
      <c r="C30" s="15" t="s">
        <v>1226</v>
      </c>
      <c r="D30" s="15"/>
      <c r="E30" s="23" t="s">
        <v>7</v>
      </c>
      <c r="F30" s="24">
        <v>19</v>
      </c>
      <c r="G30" s="25">
        <v>26250</v>
      </c>
      <c r="H30" s="18">
        <f t="shared" si="0"/>
        <v>498750</v>
      </c>
      <c r="K30" s="459">
        <f>G30*2%</f>
        <v>525</v>
      </c>
      <c r="L30" s="48">
        <f t="shared" si="1"/>
        <v>9975</v>
      </c>
      <c r="M30" s="43"/>
      <c r="N30" s="43"/>
    </row>
    <row r="31" spans="1:14" x14ac:dyDescent="0.25">
      <c r="A31" s="5"/>
      <c r="B31" s="53"/>
      <c r="C31" s="15"/>
      <c r="D31" s="15"/>
      <c r="E31" s="23"/>
      <c r="F31" s="24"/>
      <c r="G31" s="48"/>
      <c r="H31" s="18" t="str">
        <f t="shared" si="0"/>
        <v/>
      </c>
      <c r="K31" s="43"/>
      <c r="L31" s="48" t="str">
        <f t="shared" si="1"/>
        <v/>
      </c>
      <c r="M31" s="43"/>
      <c r="N31" s="43"/>
    </row>
    <row r="32" spans="1:14" x14ac:dyDescent="0.25">
      <c r="A32" s="5"/>
      <c r="B32" s="53"/>
      <c r="C32" s="15"/>
      <c r="D32" s="15"/>
      <c r="E32" s="23"/>
      <c r="F32" s="24"/>
      <c r="G32" s="41"/>
      <c r="H32" s="18" t="str">
        <f>IF(E32="","",F36*G32)</f>
        <v/>
      </c>
      <c r="I32" s="45"/>
      <c r="K32" s="43"/>
      <c r="L32" s="48" t="str">
        <f t="shared" si="1"/>
        <v/>
      </c>
      <c r="M32" s="43"/>
      <c r="N32" s="43"/>
    </row>
    <row r="33" spans="1:14" x14ac:dyDescent="0.25">
      <c r="A33" s="5"/>
      <c r="B33" s="53"/>
      <c r="C33" s="15"/>
      <c r="D33" s="15"/>
      <c r="E33" s="23"/>
      <c r="F33" s="27"/>
      <c r="G33" s="30"/>
      <c r="H33" s="18"/>
      <c r="I33" s="19"/>
      <c r="K33" s="43"/>
      <c r="L33" s="48" t="str">
        <f t="shared" si="1"/>
        <v/>
      </c>
      <c r="M33" s="43"/>
      <c r="N33" s="43"/>
    </row>
    <row r="34" spans="1:14" s="39" customFormat="1" x14ac:dyDescent="0.25">
      <c r="A34" s="71"/>
      <c r="B34" s="53"/>
      <c r="C34" s="15"/>
      <c r="D34" s="15"/>
      <c r="E34" s="16"/>
      <c r="F34" s="27"/>
      <c r="G34" s="30"/>
      <c r="H34" s="18"/>
      <c r="I34" s="19"/>
      <c r="K34" s="43"/>
      <c r="L34" s="48" t="str">
        <f t="shared" si="1"/>
        <v/>
      </c>
      <c r="M34" s="43"/>
      <c r="N34" s="43"/>
    </row>
    <row r="35" spans="1:14" x14ac:dyDescent="0.25">
      <c r="A35" s="5"/>
      <c r="B35" s="53"/>
      <c r="C35" s="15"/>
      <c r="D35" s="15"/>
      <c r="E35" s="23"/>
      <c r="F35" s="24"/>
      <c r="G35" s="41"/>
      <c r="H35" s="18" t="str">
        <f t="shared" si="0"/>
        <v/>
      </c>
      <c r="I35" s="45"/>
      <c r="K35" s="43"/>
      <c r="L35" s="48" t="str">
        <f t="shared" si="1"/>
        <v/>
      </c>
      <c r="M35" s="43"/>
      <c r="N35" s="43"/>
    </row>
    <row r="36" spans="1:14" x14ac:dyDescent="0.25">
      <c r="A36" s="5"/>
      <c r="B36" s="53"/>
      <c r="C36" s="15"/>
      <c r="D36" s="15"/>
      <c r="E36" s="23"/>
      <c r="F36" s="24"/>
      <c r="G36" s="41"/>
      <c r="H36" s="18" t="str">
        <f t="shared" si="0"/>
        <v/>
      </c>
      <c r="I36" s="45"/>
      <c r="K36" s="43"/>
      <c r="L36" s="48" t="str">
        <f t="shared" si="1"/>
        <v/>
      </c>
      <c r="M36" s="43"/>
      <c r="N36" s="43"/>
    </row>
    <row r="37" spans="1:14" x14ac:dyDescent="0.25">
      <c r="A37" s="5"/>
      <c r="B37" s="53"/>
      <c r="C37" s="15"/>
      <c r="D37" s="15"/>
      <c r="E37" s="23"/>
      <c r="F37" s="24"/>
      <c r="G37" s="50"/>
      <c r="H37" s="18" t="str">
        <f t="shared" si="0"/>
        <v/>
      </c>
      <c r="I37" s="44"/>
      <c r="K37" s="43"/>
      <c r="L37" s="48" t="str">
        <f t="shared" si="1"/>
        <v/>
      </c>
      <c r="M37" s="43"/>
      <c r="N37" s="43"/>
    </row>
    <row r="38" spans="1:14" x14ac:dyDescent="0.25">
      <c r="A38" s="5"/>
      <c r="B38" s="53"/>
      <c r="C38" s="15"/>
      <c r="D38" s="15"/>
      <c r="E38" s="23"/>
      <c r="F38" s="24"/>
      <c r="G38" s="50"/>
      <c r="H38" s="18" t="str">
        <f t="shared" si="0"/>
        <v/>
      </c>
      <c r="I38" s="44"/>
      <c r="K38" s="43"/>
      <c r="L38" s="48" t="str">
        <f t="shared" si="1"/>
        <v/>
      </c>
      <c r="M38" s="43"/>
      <c r="N38" s="43"/>
    </row>
    <row r="39" spans="1:14" x14ac:dyDescent="0.25">
      <c r="A39" s="5"/>
      <c r="B39" s="53"/>
      <c r="C39" s="15"/>
      <c r="D39" s="15"/>
      <c r="E39" s="23"/>
      <c r="F39" s="24"/>
      <c r="G39" s="46"/>
      <c r="H39" s="18" t="str">
        <f t="shared" si="0"/>
        <v/>
      </c>
      <c r="I39" s="44"/>
      <c r="K39" s="43"/>
      <c r="L39" s="48" t="str">
        <f t="shared" si="1"/>
        <v/>
      </c>
      <c r="M39" s="43"/>
      <c r="N39" s="43"/>
    </row>
    <row r="40" spans="1:14" x14ac:dyDescent="0.25">
      <c r="A40" s="5"/>
      <c r="B40" s="53"/>
      <c r="C40" s="15"/>
      <c r="D40" s="15"/>
      <c r="E40" s="23"/>
      <c r="F40" s="24"/>
      <c r="G40" s="46"/>
      <c r="H40" s="18" t="str">
        <f t="shared" si="0"/>
        <v/>
      </c>
      <c r="I40" s="44"/>
      <c r="K40" s="43"/>
      <c r="L40" s="48" t="str">
        <f t="shared" si="1"/>
        <v/>
      </c>
      <c r="M40" s="43"/>
      <c r="N40" s="43"/>
    </row>
    <row r="41" spans="1:14" x14ac:dyDescent="0.25">
      <c r="A41" s="5"/>
      <c r="B41" s="53"/>
      <c r="C41" s="15"/>
      <c r="D41" s="15"/>
      <c r="E41" s="23"/>
      <c r="F41" s="23"/>
      <c r="G41" s="43"/>
      <c r="H41" s="18" t="str">
        <f t="shared" si="0"/>
        <v/>
      </c>
      <c r="I41" s="44"/>
      <c r="K41" s="43"/>
      <c r="L41" s="48" t="str">
        <f t="shared" si="1"/>
        <v/>
      </c>
      <c r="M41" s="43"/>
      <c r="N41" s="43"/>
    </row>
    <row r="42" spans="1:14" x14ac:dyDescent="0.25">
      <c r="A42" s="5"/>
      <c r="B42" s="53"/>
      <c r="C42" s="15"/>
      <c r="D42" s="15"/>
      <c r="E42" s="23"/>
      <c r="F42" s="23"/>
      <c r="G42" s="43"/>
      <c r="H42" s="18" t="str">
        <f t="shared" si="0"/>
        <v/>
      </c>
      <c r="I42" s="44"/>
      <c r="K42" s="43"/>
      <c r="L42" s="48" t="str">
        <f t="shared" si="1"/>
        <v/>
      </c>
      <c r="M42" s="43"/>
      <c r="N42" s="43"/>
    </row>
    <row r="43" spans="1:14" x14ac:dyDescent="0.25">
      <c r="A43" s="5"/>
      <c r="B43" s="53"/>
      <c r="C43" s="15"/>
      <c r="D43" s="15"/>
      <c r="E43" s="23"/>
      <c r="F43" s="23"/>
      <c r="G43" s="41"/>
      <c r="H43" s="18" t="str">
        <f t="shared" ref="H43:H69" si="2">IF(E43="","",F43*G43)</f>
        <v/>
      </c>
      <c r="I43" s="44"/>
      <c r="K43" s="43"/>
      <c r="L43" s="48" t="str">
        <f t="shared" si="1"/>
        <v/>
      </c>
      <c r="M43" s="43"/>
      <c r="N43" s="43"/>
    </row>
    <row r="44" spans="1:14" x14ac:dyDescent="0.25">
      <c r="A44" s="5"/>
      <c r="B44" s="53"/>
      <c r="C44" s="15"/>
      <c r="D44" s="15"/>
      <c r="E44" s="23"/>
      <c r="F44" s="23"/>
      <c r="G44" s="41"/>
      <c r="H44" s="18" t="str">
        <f t="shared" si="2"/>
        <v/>
      </c>
      <c r="I44" s="44"/>
      <c r="K44" s="43"/>
      <c r="L44" s="48" t="str">
        <f t="shared" si="1"/>
        <v/>
      </c>
      <c r="M44" s="43"/>
      <c r="N44" s="43"/>
    </row>
    <row r="45" spans="1:14" x14ac:dyDescent="0.25">
      <c r="A45" s="5"/>
      <c r="B45" s="53"/>
      <c r="C45" s="15"/>
      <c r="D45" s="15"/>
      <c r="E45" s="23"/>
      <c r="F45" s="23"/>
      <c r="G45" s="41"/>
      <c r="H45" s="18" t="str">
        <f t="shared" si="2"/>
        <v/>
      </c>
      <c r="I45" s="44"/>
      <c r="K45" s="43"/>
      <c r="L45" s="48" t="str">
        <f t="shared" si="1"/>
        <v/>
      </c>
      <c r="M45" s="43"/>
      <c r="N45" s="43"/>
    </row>
    <row r="46" spans="1:14" x14ac:dyDescent="0.25">
      <c r="A46" s="5"/>
      <c r="B46" s="53"/>
      <c r="C46" s="15"/>
      <c r="D46" s="15"/>
      <c r="E46" s="23"/>
      <c r="F46" s="23"/>
      <c r="G46" s="41"/>
      <c r="H46" s="18" t="str">
        <f t="shared" si="2"/>
        <v/>
      </c>
      <c r="I46" s="44"/>
      <c r="K46" s="43"/>
      <c r="L46" s="48" t="str">
        <f t="shared" si="1"/>
        <v/>
      </c>
      <c r="M46" s="43"/>
      <c r="N46" s="43"/>
    </row>
    <row r="47" spans="1:14" x14ac:dyDescent="0.25">
      <c r="A47" s="5"/>
      <c r="B47" s="53"/>
      <c r="C47" s="15"/>
      <c r="D47" s="15"/>
      <c r="E47" s="23"/>
      <c r="F47" s="23"/>
      <c r="G47" s="41"/>
      <c r="H47" s="18" t="str">
        <f t="shared" si="2"/>
        <v/>
      </c>
      <c r="I47" s="44"/>
      <c r="K47" s="43"/>
      <c r="L47" s="48" t="str">
        <f t="shared" ref="L47:L74" si="3">IF(K47="","",K47*F47)</f>
        <v/>
      </c>
      <c r="M47" s="43"/>
      <c r="N47" s="43"/>
    </row>
    <row r="48" spans="1:14" x14ac:dyDescent="0.25">
      <c r="A48" s="5"/>
      <c r="B48" s="53"/>
      <c r="C48" s="15"/>
      <c r="D48" s="15"/>
      <c r="E48" s="23"/>
      <c r="F48" s="23"/>
      <c r="G48" s="41"/>
      <c r="H48" s="18" t="str">
        <f t="shared" si="2"/>
        <v/>
      </c>
      <c r="I48" s="44"/>
      <c r="K48" s="43"/>
      <c r="L48" s="48" t="str">
        <f t="shared" si="3"/>
        <v/>
      </c>
      <c r="M48" s="43"/>
      <c r="N48" s="43"/>
    </row>
    <row r="49" spans="1:14" x14ac:dyDescent="0.25">
      <c r="A49" s="5"/>
      <c r="B49" s="53"/>
      <c r="C49" s="15"/>
      <c r="D49" s="15"/>
      <c r="E49" s="23"/>
      <c r="F49" s="23"/>
      <c r="G49" s="41"/>
      <c r="H49" s="18" t="str">
        <f t="shared" si="2"/>
        <v/>
      </c>
      <c r="I49" s="44"/>
      <c r="K49" s="43"/>
      <c r="L49" s="48" t="str">
        <f t="shared" si="3"/>
        <v/>
      </c>
      <c r="M49" s="43"/>
      <c r="N49" s="43"/>
    </row>
    <row r="50" spans="1:14" x14ac:dyDescent="0.25">
      <c r="A50" s="5"/>
      <c r="B50" s="53"/>
      <c r="C50" s="15"/>
      <c r="D50" s="15"/>
      <c r="E50" s="23"/>
      <c r="F50" s="23"/>
      <c r="G50" s="41"/>
      <c r="H50" s="18" t="str">
        <f t="shared" si="2"/>
        <v/>
      </c>
      <c r="I50" s="44"/>
      <c r="K50" s="43"/>
      <c r="L50" s="48" t="str">
        <f t="shared" si="3"/>
        <v/>
      </c>
      <c r="M50" s="43"/>
      <c r="N50" s="43"/>
    </row>
    <row r="51" spans="1:14" x14ac:dyDescent="0.25">
      <c r="A51" s="5"/>
      <c r="B51" s="53"/>
      <c r="C51" s="15"/>
      <c r="D51" s="15"/>
      <c r="E51" s="23"/>
      <c r="F51" s="23"/>
      <c r="G51" s="51"/>
      <c r="H51" s="18" t="str">
        <f t="shared" si="2"/>
        <v/>
      </c>
      <c r="I51" s="44"/>
      <c r="K51" s="43"/>
      <c r="L51" s="48" t="str">
        <f t="shared" si="3"/>
        <v/>
      </c>
      <c r="M51" s="43"/>
      <c r="N51" s="43"/>
    </row>
    <row r="52" spans="1:14" x14ac:dyDescent="0.25">
      <c r="A52" s="5"/>
      <c r="B52" s="53"/>
      <c r="C52" s="15"/>
      <c r="D52" s="15"/>
      <c r="E52" s="23"/>
      <c r="F52" s="23"/>
      <c r="G52" s="51"/>
      <c r="H52" s="18" t="str">
        <f t="shared" si="2"/>
        <v/>
      </c>
      <c r="I52" s="44"/>
      <c r="K52" s="43"/>
      <c r="L52" s="48" t="str">
        <f t="shared" si="3"/>
        <v/>
      </c>
      <c r="M52" s="43"/>
      <c r="N52" s="43"/>
    </row>
    <row r="53" spans="1:14" x14ac:dyDescent="0.25">
      <c r="A53" s="5"/>
      <c r="B53" s="53"/>
      <c r="C53" s="15"/>
      <c r="D53" s="15"/>
      <c r="E53" s="23"/>
      <c r="F53" s="23"/>
      <c r="G53" s="41"/>
      <c r="H53" s="18" t="str">
        <f t="shared" si="2"/>
        <v/>
      </c>
      <c r="I53" s="44"/>
      <c r="K53" s="43"/>
      <c r="L53" s="48" t="str">
        <f t="shared" si="3"/>
        <v/>
      </c>
      <c r="M53" s="43"/>
      <c r="N53" s="43"/>
    </row>
    <row r="54" spans="1:14" x14ac:dyDescent="0.25">
      <c r="A54" s="5"/>
      <c r="B54" s="53"/>
      <c r="C54" s="15"/>
      <c r="D54" s="15"/>
      <c r="E54" s="23"/>
      <c r="F54" s="23"/>
      <c r="G54" s="41"/>
      <c r="H54" s="18" t="str">
        <f t="shared" si="2"/>
        <v/>
      </c>
      <c r="I54" s="44"/>
      <c r="K54" s="43"/>
      <c r="L54" s="48" t="str">
        <f t="shared" si="3"/>
        <v/>
      </c>
      <c r="M54" s="43"/>
      <c r="N54" s="43"/>
    </row>
    <row r="55" spans="1:14" x14ac:dyDescent="0.25">
      <c r="A55" s="5"/>
      <c r="B55" s="53"/>
      <c r="C55" s="15"/>
      <c r="D55" s="15"/>
      <c r="E55" s="23"/>
      <c r="F55" s="23"/>
      <c r="G55" s="41"/>
      <c r="H55" s="18" t="str">
        <f t="shared" si="2"/>
        <v/>
      </c>
      <c r="I55" s="44"/>
      <c r="K55" s="43"/>
      <c r="L55" s="48" t="str">
        <f t="shared" si="3"/>
        <v/>
      </c>
      <c r="M55" s="43"/>
      <c r="N55" s="43"/>
    </row>
    <row r="56" spans="1:14" x14ac:dyDescent="0.25">
      <c r="A56" s="5"/>
      <c r="B56" s="53"/>
      <c r="C56" s="15"/>
      <c r="D56" s="15"/>
      <c r="E56" s="23"/>
      <c r="F56" s="23"/>
      <c r="G56" s="41"/>
      <c r="H56" s="18" t="str">
        <f t="shared" si="2"/>
        <v/>
      </c>
      <c r="I56" s="44"/>
      <c r="K56" s="43"/>
      <c r="L56" s="48" t="str">
        <f t="shared" si="3"/>
        <v/>
      </c>
      <c r="M56" s="43"/>
      <c r="N56" s="43"/>
    </row>
    <row r="57" spans="1:14" x14ac:dyDescent="0.25">
      <c r="A57" s="5"/>
      <c r="B57" s="53"/>
      <c r="C57" s="15"/>
      <c r="D57" s="15"/>
      <c r="E57" s="40"/>
      <c r="F57" s="40"/>
      <c r="G57" s="41"/>
      <c r="H57" s="18" t="str">
        <f t="shared" si="2"/>
        <v/>
      </c>
      <c r="K57" s="43"/>
      <c r="L57" s="48" t="str">
        <f t="shared" si="3"/>
        <v/>
      </c>
      <c r="M57" s="43"/>
      <c r="N57" s="43"/>
    </row>
    <row r="58" spans="1:14" x14ac:dyDescent="0.25">
      <c r="A58" s="5"/>
      <c r="B58" s="53"/>
      <c r="C58" s="15"/>
      <c r="D58" s="15"/>
      <c r="E58" s="23"/>
      <c r="F58" s="23"/>
      <c r="G58" s="41"/>
      <c r="H58" s="18" t="str">
        <f t="shared" si="2"/>
        <v/>
      </c>
      <c r="I58" s="44"/>
      <c r="K58" s="43"/>
      <c r="L58" s="48" t="str">
        <f t="shared" si="3"/>
        <v/>
      </c>
      <c r="M58" s="43"/>
      <c r="N58" s="43"/>
    </row>
    <row r="59" spans="1:14" x14ac:dyDescent="0.25">
      <c r="A59" s="5"/>
      <c r="B59" s="53"/>
      <c r="C59" s="15"/>
      <c r="D59" s="15"/>
      <c r="E59" s="40"/>
      <c r="F59" s="40"/>
      <c r="G59" s="41"/>
      <c r="H59" s="18" t="str">
        <f t="shared" si="2"/>
        <v/>
      </c>
      <c r="I59" s="52"/>
      <c r="K59" s="43"/>
      <c r="L59" s="48" t="str">
        <f t="shared" si="3"/>
        <v/>
      </c>
      <c r="M59" s="43"/>
      <c r="N59" s="43"/>
    </row>
    <row r="60" spans="1:14" x14ac:dyDescent="0.25">
      <c r="A60" s="5"/>
      <c r="B60" s="53"/>
      <c r="C60" s="15"/>
      <c r="D60" s="15"/>
      <c r="E60" s="40"/>
      <c r="F60" s="40"/>
      <c r="G60" s="41"/>
      <c r="H60" s="18" t="str">
        <f t="shared" si="2"/>
        <v/>
      </c>
      <c r="K60" s="43"/>
      <c r="L60" s="48" t="str">
        <f t="shared" si="3"/>
        <v/>
      </c>
      <c r="M60" s="43"/>
      <c r="N60" s="43"/>
    </row>
    <row r="61" spans="1:14" x14ac:dyDescent="0.25">
      <c r="A61" s="5"/>
      <c r="B61" s="53"/>
      <c r="C61" s="15"/>
      <c r="D61" s="15"/>
      <c r="E61" s="23"/>
      <c r="F61" s="23"/>
      <c r="G61" s="41"/>
      <c r="H61" s="18" t="str">
        <f t="shared" si="2"/>
        <v/>
      </c>
      <c r="I61" s="44"/>
      <c r="K61" s="43"/>
      <c r="L61" s="48" t="str">
        <f t="shared" si="3"/>
        <v/>
      </c>
      <c r="M61" s="43"/>
      <c r="N61" s="43"/>
    </row>
    <row r="62" spans="1:14" x14ac:dyDescent="0.25">
      <c r="A62" s="5"/>
      <c r="B62" s="53"/>
      <c r="C62" s="15"/>
      <c r="D62" s="15"/>
      <c r="E62" s="23"/>
      <c r="F62" s="23"/>
      <c r="G62" s="41"/>
      <c r="H62" s="18" t="str">
        <f t="shared" si="2"/>
        <v/>
      </c>
      <c r="I62" s="44"/>
      <c r="K62" s="43"/>
      <c r="L62" s="48" t="str">
        <f t="shared" si="3"/>
        <v/>
      </c>
      <c r="M62" s="43"/>
      <c r="N62" s="43"/>
    </row>
    <row r="63" spans="1:14" x14ac:dyDescent="0.25">
      <c r="A63" s="5"/>
      <c r="B63" s="53"/>
      <c r="C63" s="15"/>
      <c r="D63" s="15"/>
      <c r="E63" s="23"/>
      <c r="F63" s="23"/>
      <c r="G63" s="41"/>
      <c r="H63" s="18" t="str">
        <f t="shared" si="2"/>
        <v/>
      </c>
      <c r="I63" s="44"/>
      <c r="K63" s="43"/>
      <c r="L63" s="48" t="str">
        <f t="shared" si="3"/>
        <v/>
      </c>
      <c r="M63" s="43"/>
      <c r="N63" s="43"/>
    </row>
    <row r="64" spans="1:14" x14ac:dyDescent="0.25">
      <c r="A64" s="5"/>
      <c r="B64" s="53"/>
      <c r="C64" s="15"/>
      <c r="D64" s="15"/>
      <c r="E64" s="23"/>
      <c r="F64" s="23"/>
      <c r="G64" s="41"/>
      <c r="H64" s="18" t="str">
        <f t="shared" si="2"/>
        <v/>
      </c>
      <c r="I64" s="44"/>
      <c r="K64" s="43"/>
      <c r="L64" s="48" t="str">
        <f t="shared" si="3"/>
        <v/>
      </c>
      <c r="M64" s="43"/>
      <c r="N64" s="43"/>
    </row>
    <row r="65" spans="1:14" x14ac:dyDescent="0.25">
      <c r="A65" s="5"/>
      <c r="B65" s="53"/>
      <c r="C65" s="15"/>
      <c r="D65" s="15"/>
      <c r="E65" s="23"/>
      <c r="F65" s="23"/>
      <c r="G65" s="41"/>
      <c r="H65" s="18" t="str">
        <f t="shared" si="2"/>
        <v/>
      </c>
      <c r="I65" s="44"/>
      <c r="K65" s="43"/>
      <c r="L65" s="48" t="str">
        <f t="shared" si="3"/>
        <v/>
      </c>
      <c r="M65" s="43"/>
      <c r="N65" s="43"/>
    </row>
    <row r="66" spans="1:14" x14ac:dyDescent="0.25">
      <c r="A66" s="5"/>
      <c r="B66" s="53"/>
      <c r="C66" s="15"/>
      <c r="D66" s="15"/>
      <c r="E66" s="23"/>
      <c r="F66" s="23"/>
      <c r="G66" s="41"/>
      <c r="H66" s="18" t="str">
        <f t="shared" si="2"/>
        <v/>
      </c>
      <c r="I66" s="44"/>
      <c r="K66" s="43"/>
      <c r="L66" s="48" t="str">
        <f t="shared" si="3"/>
        <v/>
      </c>
      <c r="M66" s="43"/>
      <c r="N66" s="43"/>
    </row>
    <row r="67" spans="1:14" x14ac:dyDescent="0.25">
      <c r="A67" s="5"/>
      <c r="B67" s="53"/>
      <c r="C67" s="15"/>
      <c r="D67" s="15"/>
      <c r="E67" s="23"/>
      <c r="F67" s="23"/>
      <c r="G67" s="41"/>
      <c r="H67" s="18" t="str">
        <f t="shared" si="2"/>
        <v/>
      </c>
      <c r="I67" s="44"/>
      <c r="K67" s="43"/>
      <c r="L67" s="48" t="str">
        <f t="shared" si="3"/>
        <v/>
      </c>
      <c r="M67" s="43"/>
      <c r="N67" s="43"/>
    </row>
    <row r="68" spans="1:14" x14ac:dyDescent="0.25">
      <c r="A68" s="5"/>
      <c r="B68" s="53"/>
      <c r="C68" s="15"/>
      <c r="D68" s="15"/>
      <c r="E68" s="23"/>
      <c r="F68" s="23"/>
      <c r="G68" s="41"/>
      <c r="H68" s="18" t="str">
        <f t="shared" si="2"/>
        <v/>
      </c>
      <c r="I68" s="44"/>
      <c r="K68" s="43"/>
      <c r="L68" s="48" t="str">
        <f t="shared" si="3"/>
        <v/>
      </c>
      <c r="M68" s="43"/>
      <c r="N68" s="43"/>
    </row>
    <row r="69" spans="1:14" x14ac:dyDescent="0.25">
      <c r="A69" s="5"/>
      <c r="B69" s="53"/>
      <c r="C69" s="15"/>
      <c r="D69" s="15"/>
      <c r="E69" s="23"/>
      <c r="F69" s="23"/>
      <c r="G69" s="41"/>
      <c r="H69" s="18" t="str">
        <f t="shared" si="2"/>
        <v/>
      </c>
      <c r="I69" s="44"/>
      <c r="K69" s="43"/>
      <c r="L69" s="48" t="str">
        <f t="shared" si="3"/>
        <v/>
      </c>
      <c r="M69" s="43"/>
      <c r="N69" s="43"/>
    </row>
    <row r="70" spans="1:14" x14ac:dyDescent="0.25">
      <c r="A70" s="5"/>
      <c r="B70" s="53"/>
      <c r="C70" s="15"/>
      <c r="D70" s="15"/>
      <c r="E70" s="23"/>
      <c r="F70" s="23"/>
      <c r="G70" s="41"/>
      <c r="H70" s="18"/>
      <c r="I70" s="44"/>
      <c r="K70" s="43"/>
      <c r="L70" s="48" t="str">
        <f t="shared" si="3"/>
        <v/>
      </c>
      <c r="M70" s="43"/>
      <c r="N70" s="43"/>
    </row>
    <row r="71" spans="1:14" x14ac:dyDescent="0.25">
      <c r="A71" s="5"/>
      <c r="B71" s="53"/>
      <c r="C71" s="15"/>
      <c r="D71" s="15"/>
      <c r="E71" s="23"/>
      <c r="F71" s="23"/>
      <c r="G71" s="41"/>
      <c r="H71" s="18" t="str">
        <f>IF(E71="","",F71*G71)</f>
        <v/>
      </c>
      <c r="I71" s="44"/>
      <c r="K71" s="43"/>
      <c r="L71" s="48" t="str">
        <f t="shared" si="3"/>
        <v/>
      </c>
      <c r="M71" s="43"/>
      <c r="N71" s="43"/>
    </row>
    <row r="72" spans="1:14" x14ac:dyDescent="0.25">
      <c r="A72" s="5"/>
      <c r="B72" s="53"/>
      <c r="C72" s="15"/>
      <c r="D72" s="15"/>
      <c r="E72" s="23"/>
      <c r="F72" s="23"/>
      <c r="G72" s="41"/>
      <c r="H72" s="18" t="str">
        <f>IF(E72="","",F72*G72)</f>
        <v/>
      </c>
      <c r="I72" s="44"/>
      <c r="K72" s="43"/>
      <c r="L72" s="48" t="str">
        <f t="shared" si="3"/>
        <v/>
      </c>
      <c r="M72" s="43"/>
      <c r="N72" s="43"/>
    </row>
    <row r="73" spans="1:14" x14ac:dyDescent="0.25">
      <c r="A73" s="5"/>
      <c r="B73" s="53"/>
      <c r="C73" s="15"/>
      <c r="D73" s="15"/>
      <c r="E73" s="23"/>
      <c r="F73" s="23"/>
      <c r="G73" s="41"/>
      <c r="H73" s="18" t="str">
        <f>IF(E73="","",F73*G73)</f>
        <v/>
      </c>
      <c r="I73" s="44"/>
      <c r="K73" s="43"/>
      <c r="L73" s="48" t="str">
        <f t="shared" si="3"/>
        <v/>
      </c>
      <c r="M73" s="43"/>
      <c r="N73" s="43"/>
    </row>
    <row r="74" spans="1:14" x14ac:dyDescent="0.25">
      <c r="A74" s="5"/>
      <c r="B74" s="53"/>
      <c r="C74" s="15"/>
      <c r="D74" s="15"/>
      <c r="E74" s="23"/>
      <c r="F74" s="23"/>
      <c r="G74" s="41"/>
      <c r="H74" s="18" t="str">
        <f>IF(E74="","",F74*G74)</f>
        <v/>
      </c>
      <c r="I74" s="44"/>
      <c r="K74" s="43"/>
      <c r="L74" s="48" t="str">
        <f t="shared" si="3"/>
        <v/>
      </c>
      <c r="M74" s="43"/>
      <c r="N74" s="43"/>
    </row>
    <row r="75" spans="1:14" s="31" customFormat="1" ht="24.75" customHeight="1" x14ac:dyDescent="0.25">
      <c r="B75" s="164" t="str">
        <f>$B$12</f>
        <v>1/C13.3</v>
      </c>
      <c r="C75" s="33" t="s">
        <v>957</v>
      </c>
      <c r="D75" s="33"/>
      <c r="E75" s="34"/>
      <c r="F75" s="35"/>
      <c r="G75" s="34"/>
      <c r="H75" s="36">
        <f>SUM(H10:H74)</f>
        <v>1391250</v>
      </c>
      <c r="I75" s="37"/>
      <c r="L75" s="36">
        <f>SUM(L10:L74)</f>
        <v>27825</v>
      </c>
    </row>
  </sheetData>
  <mergeCells count="4">
    <mergeCell ref="F2:H2"/>
    <mergeCell ref="B6:G8"/>
    <mergeCell ref="H5:H8"/>
    <mergeCell ref="B5:G5"/>
  </mergeCells>
  <printOptions horizontalCentered="1"/>
  <pageMargins left="0.43307086614173229" right="0.31496062992125984" top="0.43307086614173229" bottom="0.62992125984251968" header="0.35433070866141736" footer="0.31496062992125984"/>
  <pageSetup paperSize="9" scale="78"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BC753-A46D-4CCF-B831-E3DD5DA9BCA7}">
  <sheetPr codeName="Sheet29">
    <tabColor rgb="FF92D050"/>
  </sheetPr>
  <dimension ref="B1:N65"/>
  <sheetViews>
    <sheetView view="pageBreakPreview" topLeftCell="A8" zoomScaleNormal="125" zoomScaleSheetLayoutView="100" zoomScalePageLayoutView="125" workbookViewId="0">
      <selection activeCell="L25" sqref="L25"/>
    </sheetView>
  </sheetViews>
  <sheetFormatPr defaultColWidth="6.6640625" defaultRowHeight="13.2" x14ac:dyDescent="0.25"/>
  <cols>
    <col min="1" max="1" width="0.6640625" style="1" customWidth="1"/>
    <col min="2" max="2" width="11.5546875" style="38" customWidth="1"/>
    <col min="3" max="3" width="45.5546875" style="3" customWidth="1"/>
    <col min="4" max="4" width="6.4414062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1" width="6.6640625" style="1"/>
    <col min="12" max="12" width="10.6640625" style="1" bestFit="1" customWidth="1"/>
    <col min="13" max="16384" width="6.6640625" style="1"/>
  </cols>
  <sheetData>
    <row r="1" spans="2:14" x14ac:dyDescent="0.25">
      <c r="H1" s="234">
        <f>MAX(H9:H498)</f>
        <v>573300</v>
      </c>
    </row>
    <row r="2" spans="2:14" x14ac:dyDescent="0.25">
      <c r="B2" s="2" t="str">
        <f>Client1</f>
        <v>Province of KwaZulu-Natal</v>
      </c>
      <c r="F2" s="510" t="str">
        <f>"Contract No. "&amp;ContractNo</f>
        <v>Contract No. ZNB02215/00000/00/HOD/INF/23/T</v>
      </c>
      <c r="G2" s="510"/>
      <c r="H2" s="510"/>
      <c r="K2" s="402"/>
      <c r="L2" s="402">
        <f>MAX(L3:L243)</f>
        <v>54288</v>
      </c>
      <c r="M2" s="402"/>
      <c r="N2" s="403"/>
    </row>
    <row r="3" spans="2:14" x14ac:dyDescent="0.25">
      <c r="B3" s="96" t="str">
        <f>Client2</f>
        <v>Department of Transport</v>
      </c>
      <c r="K3" s="1" t="s">
        <v>1421</v>
      </c>
      <c r="L3" s="1" t="s">
        <v>1422</v>
      </c>
      <c r="M3" s="1" t="s">
        <v>1423</v>
      </c>
      <c r="N3" s="1" t="s">
        <v>1424</v>
      </c>
    </row>
    <row r="4" spans="2:14" x14ac:dyDescent="0.25">
      <c r="B4" s="84"/>
      <c r="C4" s="84"/>
      <c r="D4" s="84"/>
      <c r="E4" s="85"/>
      <c r="F4" s="85"/>
      <c r="G4" s="86"/>
      <c r="H4" s="98"/>
      <c r="K4" s="86"/>
      <c r="L4" s="86"/>
      <c r="M4" s="86"/>
      <c r="N4" s="86"/>
    </row>
    <row r="5" spans="2:14" x14ac:dyDescent="0.25">
      <c r="B5" s="507" t="s">
        <v>8</v>
      </c>
      <c r="C5" s="508"/>
      <c r="D5" s="508"/>
      <c r="E5" s="508"/>
      <c r="F5" s="508"/>
      <c r="G5" s="508"/>
      <c r="H5" s="519" t="str">
        <f>"CHAPTER "&amp;B12</f>
        <v>CHAPTER 1/C13.4</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20"/>
      <c r="I6" s="9"/>
    </row>
    <row r="7" spans="2:14" ht="12.75" customHeight="1" x14ac:dyDescent="0.25">
      <c r="B7" s="500"/>
      <c r="C7" s="501"/>
      <c r="D7" s="501"/>
      <c r="E7" s="501"/>
      <c r="F7" s="501"/>
      <c r="G7" s="501"/>
      <c r="H7" s="520"/>
      <c r="I7" s="9"/>
    </row>
    <row r="8" spans="2:14" ht="7.5" customHeight="1" x14ac:dyDescent="0.25">
      <c r="B8" s="502"/>
      <c r="C8" s="503"/>
      <c r="D8" s="503"/>
      <c r="E8" s="503"/>
      <c r="F8" s="503"/>
      <c r="G8" s="503"/>
      <c r="H8" s="521"/>
      <c r="I8" s="9"/>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s="10" customFormat="1" ht="25.2" customHeight="1" x14ac:dyDescent="0.25">
      <c r="B10" s="49"/>
      <c r="C10" s="229" t="s">
        <v>1177</v>
      </c>
      <c r="D10" s="492"/>
      <c r="E10" s="54"/>
      <c r="F10" s="54"/>
      <c r="G10" s="54"/>
      <c r="H10" s="54"/>
      <c r="I10" s="13"/>
      <c r="K10" s="17"/>
      <c r="L10" s="17"/>
      <c r="M10" s="17"/>
      <c r="N10" s="17"/>
    </row>
    <row r="11" spans="2:14" x14ac:dyDescent="0.25">
      <c r="B11" s="53"/>
      <c r="C11" s="15"/>
      <c r="D11" s="15"/>
      <c r="E11" s="16"/>
      <c r="F11" s="16"/>
      <c r="G11" s="17"/>
      <c r="H11" s="18" t="str">
        <f t="shared" ref="H11:H25" si="0">IF(E11="","",F11*G11)</f>
        <v/>
      </c>
      <c r="I11" s="19"/>
      <c r="K11" s="43"/>
      <c r="L11" s="43"/>
      <c r="M11" s="43"/>
      <c r="N11" s="43"/>
    </row>
    <row r="12" spans="2:14" x14ac:dyDescent="0.25">
      <c r="B12" s="80" t="s">
        <v>1233</v>
      </c>
      <c r="C12" s="21" t="s">
        <v>421</v>
      </c>
      <c r="D12" s="23" t="s">
        <v>1602</v>
      </c>
      <c r="E12" s="23"/>
      <c r="F12" s="23"/>
      <c r="G12" s="43"/>
      <c r="H12" s="18" t="str">
        <f t="shared" si="0"/>
        <v/>
      </c>
      <c r="I12" s="44"/>
      <c r="K12" s="43"/>
      <c r="L12" s="43"/>
      <c r="M12" s="43"/>
      <c r="N12" s="43"/>
    </row>
    <row r="13" spans="2:14" x14ac:dyDescent="0.25">
      <c r="B13" s="53"/>
      <c r="C13" s="15"/>
      <c r="D13" s="15"/>
      <c r="E13" s="23"/>
      <c r="F13" s="23"/>
      <c r="G13" s="43"/>
      <c r="H13" s="18" t="str">
        <f t="shared" si="0"/>
        <v/>
      </c>
      <c r="I13" s="44"/>
      <c r="K13" s="25"/>
      <c r="L13" s="48" t="str">
        <f t="shared" ref="L13:L44" si="1">IF(K13="","",K13*F13)</f>
        <v/>
      </c>
      <c r="M13" s="25"/>
      <c r="N13" s="25"/>
    </row>
    <row r="14" spans="2:14" x14ac:dyDescent="0.25">
      <c r="B14" s="53" t="s">
        <v>1234</v>
      </c>
      <c r="C14" s="15" t="s">
        <v>1230</v>
      </c>
      <c r="D14" s="15"/>
      <c r="E14" s="23"/>
      <c r="F14" s="23"/>
      <c r="G14" s="43"/>
      <c r="H14" s="18" t="str">
        <f t="shared" si="0"/>
        <v/>
      </c>
      <c r="I14" s="44"/>
      <c r="K14" s="43"/>
      <c r="L14" s="48" t="str">
        <f t="shared" si="1"/>
        <v/>
      </c>
      <c r="M14" s="43"/>
      <c r="N14" s="43"/>
    </row>
    <row r="15" spans="2:14" x14ac:dyDescent="0.25">
      <c r="B15" s="53"/>
      <c r="C15" s="15"/>
      <c r="D15" s="15"/>
      <c r="E15" s="23"/>
      <c r="F15" s="23"/>
      <c r="G15" s="43"/>
      <c r="H15" s="18" t="str">
        <f t="shared" si="0"/>
        <v/>
      </c>
      <c r="I15" s="44"/>
      <c r="K15" s="43"/>
      <c r="L15" s="48" t="str">
        <f t="shared" si="1"/>
        <v/>
      </c>
      <c r="M15" s="43"/>
      <c r="N15" s="43"/>
    </row>
    <row r="16" spans="2:14" x14ac:dyDescent="0.25">
      <c r="B16" s="53" t="s">
        <v>1235</v>
      </c>
      <c r="C16" s="15" t="s">
        <v>1231</v>
      </c>
      <c r="D16" s="15"/>
      <c r="E16" s="23"/>
      <c r="F16" s="24"/>
      <c r="G16" s="25"/>
      <c r="H16" s="18" t="str">
        <f t="shared" si="0"/>
        <v/>
      </c>
      <c r="I16" s="45"/>
      <c r="K16" s="43"/>
      <c r="L16" s="48" t="str">
        <f t="shared" si="1"/>
        <v/>
      </c>
      <c r="M16" s="43"/>
      <c r="N16" s="43"/>
    </row>
    <row r="17" spans="2:14" x14ac:dyDescent="0.25">
      <c r="B17" s="53"/>
      <c r="C17" s="15"/>
      <c r="D17" s="15"/>
      <c r="E17" s="23"/>
      <c r="F17" s="24"/>
      <c r="G17" s="25"/>
      <c r="H17" s="18" t="str">
        <f t="shared" si="0"/>
        <v/>
      </c>
      <c r="I17" s="45"/>
      <c r="K17" s="43"/>
      <c r="L17" s="48" t="str">
        <f t="shared" si="1"/>
        <v/>
      </c>
      <c r="M17" s="43"/>
      <c r="N17" s="43"/>
    </row>
    <row r="18" spans="2:14" x14ac:dyDescent="0.25">
      <c r="B18" s="53"/>
      <c r="C18" s="214" t="s">
        <v>1218</v>
      </c>
      <c r="D18" s="214"/>
      <c r="E18" s="230" t="s">
        <v>1232</v>
      </c>
      <c r="F18" s="24">
        <v>28</v>
      </c>
      <c r="G18" s="25">
        <v>3675</v>
      </c>
      <c r="H18" s="18">
        <f t="shared" si="0"/>
        <v>102900</v>
      </c>
      <c r="I18" s="45"/>
      <c r="K18" s="43">
        <f>_Place</f>
        <v>348</v>
      </c>
      <c r="L18" s="48">
        <f t="shared" si="1"/>
        <v>9744</v>
      </c>
      <c r="M18" s="43"/>
      <c r="N18" s="43"/>
    </row>
    <row r="19" spans="2:14" x14ac:dyDescent="0.25">
      <c r="B19" s="53"/>
      <c r="C19" s="231"/>
      <c r="D19" s="231"/>
      <c r="E19" s="232"/>
      <c r="F19" s="24"/>
      <c r="G19" s="25" t="s">
        <v>1556</v>
      </c>
      <c r="H19" s="18" t="str">
        <f t="shared" si="0"/>
        <v/>
      </c>
      <c r="I19" s="45"/>
      <c r="K19" s="43"/>
      <c r="L19" s="48" t="str">
        <f t="shared" si="1"/>
        <v/>
      </c>
      <c r="M19" s="43"/>
      <c r="N19" s="43"/>
    </row>
    <row r="20" spans="2:14" x14ac:dyDescent="0.25">
      <c r="B20" s="53"/>
      <c r="C20" s="214" t="s">
        <v>1219</v>
      </c>
      <c r="D20" s="214"/>
      <c r="E20" s="230" t="s">
        <v>1232</v>
      </c>
      <c r="F20" s="24">
        <v>66</v>
      </c>
      <c r="G20" s="25">
        <v>3675</v>
      </c>
      <c r="H20" s="18">
        <f t="shared" si="0"/>
        <v>242550</v>
      </c>
      <c r="I20" s="45"/>
      <c r="K20" s="43">
        <f>_Place</f>
        <v>348</v>
      </c>
      <c r="L20" s="48">
        <f t="shared" si="1"/>
        <v>22968</v>
      </c>
      <c r="M20" s="43"/>
      <c r="N20" s="43"/>
    </row>
    <row r="21" spans="2:14" x14ac:dyDescent="0.25">
      <c r="B21" s="53"/>
      <c r="C21" s="231"/>
      <c r="D21" s="231"/>
      <c r="E21" s="232"/>
      <c r="F21" s="24"/>
      <c r="G21" s="25" t="s">
        <v>1556</v>
      </c>
      <c r="H21" s="18" t="str">
        <f t="shared" si="0"/>
        <v/>
      </c>
      <c r="I21" s="45"/>
      <c r="K21" s="43"/>
      <c r="L21" s="48" t="str">
        <f t="shared" si="1"/>
        <v/>
      </c>
      <c r="M21" s="43"/>
      <c r="N21" s="43"/>
    </row>
    <row r="22" spans="2:14" x14ac:dyDescent="0.25">
      <c r="B22" s="53"/>
      <c r="C22" s="214" t="s">
        <v>1220</v>
      </c>
      <c r="D22" s="214"/>
      <c r="E22" s="230" t="s">
        <v>1232</v>
      </c>
      <c r="F22" s="24">
        <v>21</v>
      </c>
      <c r="G22" s="25">
        <v>3675</v>
      </c>
      <c r="H22" s="18">
        <f t="shared" si="0"/>
        <v>77175</v>
      </c>
      <c r="I22" s="45"/>
      <c r="K22" s="43">
        <f>_Place</f>
        <v>348</v>
      </c>
      <c r="L22" s="48">
        <f t="shared" si="1"/>
        <v>7308</v>
      </c>
      <c r="M22" s="43"/>
      <c r="N22" s="43"/>
    </row>
    <row r="23" spans="2:14" x14ac:dyDescent="0.25">
      <c r="B23" s="53"/>
      <c r="C23" s="231"/>
      <c r="D23" s="231"/>
      <c r="E23" s="232"/>
      <c r="F23" s="24"/>
      <c r="G23" s="25" t="s">
        <v>1556</v>
      </c>
      <c r="H23" s="18" t="str">
        <f t="shared" si="0"/>
        <v/>
      </c>
      <c r="I23" s="45"/>
      <c r="K23" s="43"/>
      <c r="L23" s="48" t="str">
        <f t="shared" si="1"/>
        <v/>
      </c>
      <c r="M23" s="43"/>
      <c r="N23" s="43"/>
    </row>
    <row r="24" spans="2:14" x14ac:dyDescent="0.25">
      <c r="B24" s="53"/>
      <c r="C24" s="214" t="s">
        <v>1221</v>
      </c>
      <c r="D24" s="214"/>
      <c r="E24" s="230" t="s">
        <v>1232</v>
      </c>
      <c r="F24" s="24">
        <v>41</v>
      </c>
      <c r="G24" s="25">
        <v>3675</v>
      </c>
      <c r="H24" s="18">
        <f t="shared" si="0"/>
        <v>150675</v>
      </c>
      <c r="I24" s="45"/>
      <c r="K24" s="43">
        <f>_Place</f>
        <v>348</v>
      </c>
      <c r="L24" s="48">
        <f t="shared" si="1"/>
        <v>14268</v>
      </c>
      <c r="M24" s="43"/>
      <c r="N24" s="43"/>
    </row>
    <row r="25" spans="2:14" x14ac:dyDescent="0.25">
      <c r="B25" s="53"/>
      <c r="C25" s="214"/>
      <c r="D25" s="214"/>
      <c r="E25" s="230"/>
      <c r="F25" s="24"/>
      <c r="G25" s="25"/>
      <c r="H25" s="18" t="str">
        <f t="shared" si="0"/>
        <v/>
      </c>
      <c r="I25" s="45"/>
      <c r="K25" s="43"/>
      <c r="L25" s="48" t="str">
        <f t="shared" si="1"/>
        <v/>
      </c>
      <c r="M25" s="43"/>
      <c r="N25" s="43"/>
    </row>
    <row r="26" spans="2:14" x14ac:dyDescent="0.25">
      <c r="B26" s="53"/>
      <c r="C26" s="15"/>
      <c r="D26" s="15"/>
      <c r="E26" s="23"/>
      <c r="F26" s="24"/>
      <c r="G26" s="25"/>
      <c r="H26" s="18"/>
      <c r="I26" s="45"/>
      <c r="K26" s="43"/>
      <c r="L26" s="48" t="str">
        <f t="shared" si="1"/>
        <v/>
      </c>
      <c r="M26" s="43"/>
      <c r="N26" s="43"/>
    </row>
    <row r="27" spans="2:14" x14ac:dyDescent="0.25">
      <c r="B27" s="53"/>
      <c r="C27" s="15"/>
      <c r="D27" s="15"/>
      <c r="E27" s="23"/>
      <c r="F27" s="24"/>
      <c r="G27" s="25"/>
      <c r="H27" s="18"/>
      <c r="I27" s="45"/>
      <c r="K27" s="43"/>
      <c r="L27" s="48" t="str">
        <f t="shared" si="1"/>
        <v/>
      </c>
      <c r="M27" s="43"/>
      <c r="N27" s="43"/>
    </row>
    <row r="28" spans="2:14" x14ac:dyDescent="0.25">
      <c r="B28" s="53"/>
      <c r="C28" s="15"/>
      <c r="D28" s="15"/>
      <c r="E28" s="23"/>
      <c r="F28" s="24"/>
      <c r="G28" s="43"/>
      <c r="H28" s="18"/>
      <c r="I28" s="44"/>
      <c r="K28" s="43"/>
      <c r="L28" s="48" t="str">
        <f t="shared" si="1"/>
        <v/>
      </c>
      <c r="M28" s="43"/>
      <c r="N28" s="43"/>
    </row>
    <row r="29" spans="2:14" x14ac:dyDescent="0.25">
      <c r="B29" s="53"/>
      <c r="C29" s="15"/>
      <c r="D29" s="15"/>
      <c r="E29" s="23"/>
      <c r="F29" s="24"/>
      <c r="G29" s="46"/>
      <c r="H29" s="18"/>
      <c r="I29" s="44"/>
      <c r="K29" s="43"/>
      <c r="L29" s="48" t="str">
        <f t="shared" si="1"/>
        <v/>
      </c>
      <c r="M29" s="43"/>
      <c r="N29" s="43"/>
    </row>
    <row r="30" spans="2:14" x14ac:dyDescent="0.25">
      <c r="B30" s="53"/>
      <c r="C30" s="15"/>
      <c r="D30" s="15"/>
      <c r="E30" s="23"/>
      <c r="F30" s="24"/>
      <c r="G30" s="48"/>
      <c r="H30" s="18"/>
      <c r="K30" s="43"/>
      <c r="L30" s="48" t="str">
        <f t="shared" si="1"/>
        <v/>
      </c>
      <c r="M30" s="43"/>
      <c r="N30" s="43"/>
    </row>
    <row r="31" spans="2:14" x14ac:dyDescent="0.25">
      <c r="B31" s="53"/>
      <c r="C31" s="1"/>
      <c r="D31" s="1"/>
      <c r="E31" s="23"/>
      <c r="F31" s="24"/>
      <c r="G31" s="48"/>
      <c r="H31" s="18"/>
      <c r="K31" s="43"/>
      <c r="L31" s="48" t="str">
        <f t="shared" si="1"/>
        <v/>
      </c>
      <c r="M31" s="43"/>
      <c r="N31" s="43"/>
    </row>
    <row r="32" spans="2:14" x14ac:dyDescent="0.25">
      <c r="B32" s="53"/>
      <c r="C32" s="15"/>
      <c r="D32" s="15"/>
      <c r="E32" s="23"/>
      <c r="F32" s="24"/>
      <c r="G32" s="41"/>
      <c r="H32" s="18"/>
      <c r="K32" s="43"/>
      <c r="L32" s="48" t="str">
        <f t="shared" si="1"/>
        <v/>
      </c>
      <c r="M32" s="43"/>
      <c r="N32" s="43"/>
    </row>
    <row r="33" spans="2:14" x14ac:dyDescent="0.25">
      <c r="B33" s="53"/>
      <c r="C33" s="15"/>
      <c r="D33" s="15"/>
      <c r="E33" s="23"/>
      <c r="F33" s="24"/>
      <c r="G33" s="48"/>
      <c r="H33" s="18"/>
      <c r="K33" s="43"/>
      <c r="L33" s="48" t="str">
        <f t="shared" si="1"/>
        <v/>
      </c>
      <c r="M33" s="43"/>
      <c r="N33" s="43"/>
    </row>
    <row r="34" spans="2:14" x14ac:dyDescent="0.25">
      <c r="B34" s="53"/>
      <c r="C34" s="15"/>
      <c r="D34" s="15"/>
      <c r="E34" s="23"/>
      <c r="F34" s="24"/>
      <c r="G34" s="46"/>
      <c r="H34" s="18"/>
      <c r="K34" s="43"/>
      <c r="L34" s="48" t="str">
        <f t="shared" si="1"/>
        <v/>
      </c>
      <c r="M34" s="43"/>
      <c r="N34" s="43"/>
    </row>
    <row r="35" spans="2:14" x14ac:dyDescent="0.25">
      <c r="B35" s="53"/>
      <c r="C35" s="15"/>
      <c r="D35" s="15"/>
      <c r="E35" s="23"/>
      <c r="F35" s="24"/>
      <c r="G35" s="48"/>
      <c r="H35" s="18"/>
      <c r="K35" s="43"/>
      <c r="L35" s="48" t="str">
        <f t="shared" si="1"/>
        <v/>
      </c>
      <c r="M35" s="43"/>
      <c r="N35" s="43"/>
    </row>
    <row r="36" spans="2:14" x14ac:dyDescent="0.25">
      <c r="B36" s="53"/>
      <c r="C36" s="15"/>
      <c r="D36" s="15"/>
      <c r="E36" s="23"/>
      <c r="F36" s="24"/>
      <c r="G36" s="41"/>
      <c r="H36" s="18"/>
      <c r="I36" s="45"/>
      <c r="K36" s="43"/>
      <c r="L36" s="48" t="str">
        <f t="shared" si="1"/>
        <v/>
      </c>
      <c r="M36" s="43"/>
      <c r="N36" s="43"/>
    </row>
    <row r="37" spans="2:14" x14ac:dyDescent="0.25">
      <c r="B37" s="53"/>
      <c r="C37" s="15"/>
      <c r="D37" s="15"/>
      <c r="E37" s="23"/>
      <c r="F37" s="27"/>
      <c r="G37" s="30"/>
      <c r="H37" s="18"/>
      <c r="I37" s="19"/>
      <c r="K37" s="43"/>
      <c r="L37" s="48" t="str">
        <f t="shared" si="1"/>
        <v/>
      </c>
      <c r="M37" s="43"/>
      <c r="N37" s="43"/>
    </row>
    <row r="38" spans="2:14" s="39" customFormat="1" x14ac:dyDescent="0.25">
      <c r="B38" s="53"/>
      <c r="C38" s="15"/>
      <c r="D38" s="15"/>
      <c r="E38" s="23"/>
      <c r="F38" s="27"/>
      <c r="G38" s="30"/>
      <c r="H38" s="18"/>
      <c r="I38" s="19"/>
      <c r="K38" s="43"/>
      <c r="L38" s="48" t="str">
        <f t="shared" si="1"/>
        <v/>
      </c>
      <c r="M38" s="43"/>
      <c r="N38" s="43"/>
    </row>
    <row r="39" spans="2:14" x14ac:dyDescent="0.25">
      <c r="B39" s="53"/>
      <c r="C39" s="15"/>
      <c r="D39" s="15"/>
      <c r="E39" s="23"/>
      <c r="F39" s="24"/>
      <c r="G39" s="41"/>
      <c r="H39" s="18"/>
      <c r="I39" s="45"/>
      <c r="K39" s="43"/>
      <c r="L39" s="48" t="str">
        <f t="shared" si="1"/>
        <v/>
      </c>
      <c r="M39" s="43"/>
      <c r="N39" s="43"/>
    </row>
    <row r="40" spans="2:14" x14ac:dyDescent="0.25">
      <c r="B40" s="53"/>
      <c r="C40" s="15"/>
      <c r="D40" s="15"/>
      <c r="E40" s="23"/>
      <c r="F40" s="24"/>
      <c r="G40" s="41"/>
      <c r="H40" s="18"/>
      <c r="I40" s="45"/>
      <c r="K40" s="43"/>
      <c r="L40" s="48" t="str">
        <f t="shared" si="1"/>
        <v/>
      </c>
      <c r="M40" s="43"/>
      <c r="N40" s="43"/>
    </row>
    <row r="41" spans="2:14" x14ac:dyDescent="0.25">
      <c r="B41" s="53"/>
      <c r="C41" s="15"/>
      <c r="D41" s="15"/>
      <c r="E41" s="23"/>
      <c r="F41" s="24"/>
      <c r="G41" s="50"/>
      <c r="H41" s="18"/>
      <c r="I41" s="44"/>
      <c r="K41" s="43"/>
      <c r="L41" s="48" t="str">
        <f t="shared" si="1"/>
        <v/>
      </c>
      <c r="M41" s="43"/>
      <c r="N41" s="43"/>
    </row>
    <row r="42" spans="2:14" x14ac:dyDescent="0.25">
      <c r="B42" s="53"/>
      <c r="C42" s="15"/>
      <c r="D42" s="15"/>
      <c r="E42" s="23"/>
      <c r="F42" s="24"/>
      <c r="G42" s="50"/>
      <c r="H42" s="18"/>
      <c r="I42" s="44"/>
      <c r="K42" s="43"/>
      <c r="L42" s="48" t="str">
        <f t="shared" si="1"/>
        <v/>
      </c>
      <c r="M42" s="43"/>
      <c r="N42" s="43"/>
    </row>
    <row r="43" spans="2:14" x14ac:dyDescent="0.25">
      <c r="B43" s="53"/>
      <c r="C43" s="15"/>
      <c r="D43" s="15"/>
      <c r="E43" s="23"/>
      <c r="F43" s="24"/>
      <c r="G43" s="46"/>
      <c r="H43" s="18"/>
      <c r="I43" s="44"/>
      <c r="K43" s="43"/>
      <c r="L43" s="48" t="str">
        <f t="shared" si="1"/>
        <v/>
      </c>
      <c r="M43" s="43"/>
      <c r="N43" s="43"/>
    </row>
    <row r="44" spans="2:14" x14ac:dyDescent="0.25">
      <c r="B44" s="53"/>
      <c r="C44" s="15"/>
      <c r="D44" s="15"/>
      <c r="E44" s="23"/>
      <c r="F44" s="24"/>
      <c r="G44" s="46"/>
      <c r="H44" s="18"/>
      <c r="I44" s="44"/>
      <c r="K44" s="43"/>
      <c r="L44" s="48" t="str">
        <f t="shared" si="1"/>
        <v/>
      </c>
      <c r="M44" s="43"/>
      <c r="N44" s="43"/>
    </row>
    <row r="45" spans="2:14" x14ac:dyDescent="0.25">
      <c r="B45" s="53"/>
      <c r="C45" s="15"/>
      <c r="D45" s="15"/>
      <c r="E45" s="23"/>
      <c r="F45" s="23"/>
      <c r="G45" s="41"/>
      <c r="H45" s="18"/>
      <c r="I45" s="44"/>
      <c r="K45" s="43"/>
      <c r="L45" s="48" t="str">
        <f t="shared" ref="L45:L64" si="2">IF(K45="","",K45*F45)</f>
        <v/>
      </c>
      <c r="M45" s="43"/>
      <c r="N45" s="43"/>
    </row>
    <row r="46" spans="2:14" x14ac:dyDescent="0.25">
      <c r="B46" s="53"/>
      <c r="C46" s="15"/>
      <c r="D46" s="15"/>
      <c r="E46" s="23"/>
      <c r="F46" s="23"/>
      <c r="G46" s="41"/>
      <c r="H46" s="18"/>
      <c r="I46" s="44"/>
      <c r="K46" s="43"/>
      <c r="L46" s="48" t="str">
        <f t="shared" si="2"/>
        <v/>
      </c>
      <c r="M46" s="43"/>
      <c r="N46" s="43"/>
    </row>
    <row r="47" spans="2:14" x14ac:dyDescent="0.25">
      <c r="B47" s="53"/>
      <c r="C47" s="15"/>
      <c r="D47" s="15"/>
      <c r="E47" s="23"/>
      <c r="F47" s="23"/>
      <c r="G47" s="41"/>
      <c r="H47" s="18"/>
      <c r="I47" s="44"/>
      <c r="K47" s="43"/>
      <c r="L47" s="48" t="str">
        <f t="shared" si="2"/>
        <v/>
      </c>
      <c r="M47" s="43"/>
      <c r="N47" s="43"/>
    </row>
    <row r="48" spans="2:14" x14ac:dyDescent="0.25">
      <c r="B48" s="53"/>
      <c r="C48" s="15"/>
      <c r="D48" s="15"/>
      <c r="E48" s="23"/>
      <c r="F48" s="23"/>
      <c r="G48" s="41"/>
      <c r="H48" s="18"/>
      <c r="I48" s="44"/>
      <c r="K48" s="43"/>
      <c r="L48" s="48" t="str">
        <f t="shared" si="2"/>
        <v/>
      </c>
      <c r="M48" s="43"/>
      <c r="N48" s="43"/>
    </row>
    <row r="49" spans="2:14" x14ac:dyDescent="0.25">
      <c r="B49" s="53"/>
      <c r="C49" s="15"/>
      <c r="D49" s="15"/>
      <c r="E49" s="23"/>
      <c r="F49" s="23"/>
      <c r="G49" s="41"/>
      <c r="H49" s="18"/>
      <c r="I49" s="44"/>
      <c r="K49" s="43"/>
      <c r="L49" s="48" t="str">
        <f t="shared" si="2"/>
        <v/>
      </c>
      <c r="M49" s="43"/>
      <c r="N49" s="43"/>
    </row>
    <row r="50" spans="2:14" x14ac:dyDescent="0.25">
      <c r="B50" s="53"/>
      <c r="C50" s="15"/>
      <c r="D50" s="15"/>
      <c r="E50" s="23"/>
      <c r="F50" s="23"/>
      <c r="G50" s="41"/>
      <c r="H50" s="18"/>
      <c r="I50" s="44"/>
      <c r="K50" s="43"/>
      <c r="L50" s="48" t="str">
        <f t="shared" si="2"/>
        <v/>
      </c>
      <c r="M50" s="43"/>
      <c r="N50" s="43"/>
    </row>
    <row r="51" spans="2:14" x14ac:dyDescent="0.25">
      <c r="B51" s="53"/>
      <c r="C51" s="15"/>
      <c r="D51" s="15"/>
      <c r="E51" s="23"/>
      <c r="F51" s="23"/>
      <c r="G51" s="41"/>
      <c r="H51" s="18"/>
      <c r="I51" s="44"/>
      <c r="K51" s="43"/>
      <c r="L51" s="48" t="str">
        <f t="shared" si="2"/>
        <v/>
      </c>
      <c r="M51" s="43"/>
      <c r="N51" s="43"/>
    </row>
    <row r="52" spans="2:14" x14ac:dyDescent="0.25">
      <c r="B52" s="53"/>
      <c r="C52" s="15"/>
      <c r="D52" s="15"/>
      <c r="E52" s="23"/>
      <c r="F52" s="23"/>
      <c r="G52" s="41"/>
      <c r="H52" s="18"/>
      <c r="I52" s="44"/>
      <c r="K52" s="43"/>
      <c r="L52" s="48" t="str">
        <f t="shared" si="2"/>
        <v/>
      </c>
      <c r="M52" s="43"/>
      <c r="N52" s="43"/>
    </row>
    <row r="53" spans="2:14" x14ac:dyDescent="0.25">
      <c r="B53" s="53"/>
      <c r="C53" s="15"/>
      <c r="D53" s="15"/>
      <c r="E53" s="23"/>
      <c r="F53" s="23"/>
      <c r="G53" s="51"/>
      <c r="H53" s="18"/>
      <c r="I53" s="44"/>
      <c r="K53" s="43"/>
      <c r="L53" s="48" t="str">
        <f t="shared" si="2"/>
        <v/>
      </c>
      <c r="M53" s="43"/>
      <c r="N53" s="43"/>
    </row>
    <row r="54" spans="2:14" x14ac:dyDescent="0.25">
      <c r="B54" s="53"/>
      <c r="C54" s="15"/>
      <c r="D54" s="15"/>
      <c r="E54" s="23"/>
      <c r="F54" s="23"/>
      <c r="G54" s="51"/>
      <c r="H54" s="18"/>
      <c r="I54" s="44"/>
      <c r="K54" s="43"/>
      <c r="L54" s="48" t="str">
        <f t="shared" si="2"/>
        <v/>
      </c>
      <c r="M54" s="43"/>
      <c r="N54" s="43"/>
    </row>
    <row r="55" spans="2:14" x14ac:dyDescent="0.25">
      <c r="B55" s="53"/>
      <c r="C55" s="15"/>
      <c r="D55" s="15"/>
      <c r="E55" s="23"/>
      <c r="F55" s="23"/>
      <c r="G55" s="41"/>
      <c r="H55" s="18"/>
      <c r="I55" s="44"/>
      <c r="K55" s="43"/>
      <c r="L55" s="48" t="str">
        <f t="shared" si="2"/>
        <v/>
      </c>
      <c r="M55" s="43"/>
      <c r="N55" s="43"/>
    </row>
    <row r="56" spans="2:14" x14ac:dyDescent="0.25">
      <c r="B56" s="53"/>
      <c r="C56" s="15"/>
      <c r="D56" s="15"/>
      <c r="E56" s="23"/>
      <c r="F56" s="23"/>
      <c r="G56" s="41"/>
      <c r="H56" s="18"/>
      <c r="I56" s="44"/>
      <c r="K56" s="43"/>
      <c r="L56" s="48" t="str">
        <f t="shared" si="2"/>
        <v/>
      </c>
      <c r="M56" s="43"/>
      <c r="N56" s="43"/>
    </row>
    <row r="57" spans="2:14" x14ac:dyDescent="0.25">
      <c r="B57" s="53"/>
      <c r="C57" s="15"/>
      <c r="D57" s="15"/>
      <c r="E57" s="23"/>
      <c r="F57" s="23"/>
      <c r="G57" s="41"/>
      <c r="H57" s="18"/>
      <c r="I57" s="44"/>
      <c r="K57" s="43"/>
      <c r="L57" s="48" t="str">
        <f t="shared" si="2"/>
        <v/>
      </c>
      <c r="M57" s="43"/>
      <c r="N57" s="43"/>
    </row>
    <row r="58" spans="2:14" x14ac:dyDescent="0.25">
      <c r="B58" s="53"/>
      <c r="C58" s="15"/>
      <c r="D58" s="15"/>
      <c r="E58" s="23"/>
      <c r="F58" s="23"/>
      <c r="G58" s="41"/>
      <c r="H58" s="18"/>
      <c r="I58" s="44"/>
      <c r="K58" s="43"/>
      <c r="L58" s="48" t="str">
        <f t="shared" si="2"/>
        <v/>
      </c>
      <c r="M58" s="43"/>
      <c r="N58" s="43"/>
    </row>
    <row r="59" spans="2:14" x14ac:dyDescent="0.25">
      <c r="B59" s="53"/>
      <c r="C59" s="15"/>
      <c r="D59" s="15"/>
      <c r="E59" s="23"/>
      <c r="F59" s="23"/>
      <c r="G59" s="41"/>
      <c r="H59" s="18"/>
      <c r="I59" s="44"/>
      <c r="K59" s="43"/>
      <c r="L59" s="48" t="str">
        <f t="shared" si="2"/>
        <v/>
      </c>
      <c r="M59" s="43"/>
      <c r="N59" s="43"/>
    </row>
    <row r="60" spans="2:14" x14ac:dyDescent="0.25">
      <c r="B60" s="53"/>
      <c r="C60" s="15"/>
      <c r="D60" s="15"/>
      <c r="E60" s="23"/>
      <c r="F60" s="23"/>
      <c r="G60" s="41"/>
      <c r="H60" s="18"/>
      <c r="I60" s="44"/>
      <c r="K60" s="43"/>
      <c r="L60" s="48" t="str">
        <f t="shared" si="2"/>
        <v/>
      </c>
      <c r="M60" s="43"/>
      <c r="N60" s="43"/>
    </row>
    <row r="61" spans="2:14" x14ac:dyDescent="0.25">
      <c r="B61" s="53"/>
      <c r="C61" s="15"/>
      <c r="D61" s="15"/>
      <c r="E61" s="23"/>
      <c r="F61" s="23"/>
      <c r="G61" s="41"/>
      <c r="H61" s="18"/>
      <c r="I61" s="44"/>
      <c r="K61" s="43"/>
      <c r="L61" s="48" t="str">
        <f t="shared" si="2"/>
        <v/>
      </c>
      <c r="M61" s="43"/>
      <c r="N61" s="43"/>
    </row>
    <row r="62" spans="2:14" x14ac:dyDescent="0.25">
      <c r="B62" s="53"/>
      <c r="C62" s="15"/>
      <c r="D62" s="15"/>
      <c r="E62" s="23"/>
      <c r="F62" s="23"/>
      <c r="G62" s="41"/>
      <c r="H62" s="18"/>
      <c r="I62" s="44"/>
      <c r="K62" s="43"/>
      <c r="L62" s="48" t="str">
        <f t="shared" si="2"/>
        <v/>
      </c>
      <c r="M62" s="43"/>
      <c r="N62" s="43"/>
    </row>
    <row r="63" spans="2:14" x14ac:dyDescent="0.25">
      <c r="B63" s="53"/>
      <c r="C63" s="15"/>
      <c r="D63" s="15"/>
      <c r="E63" s="23"/>
      <c r="F63" s="23"/>
      <c r="G63" s="41"/>
      <c r="H63" s="18" t="str">
        <f>IF(E63="","",F63*G63)</f>
        <v/>
      </c>
      <c r="I63" s="44"/>
      <c r="K63" s="43"/>
      <c r="L63" s="48" t="str">
        <f t="shared" si="2"/>
        <v/>
      </c>
      <c r="M63" s="43"/>
      <c r="N63" s="43"/>
    </row>
    <row r="64" spans="2:14" x14ac:dyDescent="0.25">
      <c r="B64" s="53"/>
      <c r="C64" s="15"/>
      <c r="D64" s="15"/>
      <c r="E64" s="23"/>
      <c r="F64" s="23"/>
      <c r="G64" s="41"/>
      <c r="H64" s="18"/>
      <c r="I64" s="44"/>
      <c r="K64" s="43"/>
      <c r="L64" s="48" t="str">
        <f t="shared" si="2"/>
        <v/>
      </c>
      <c r="M64" s="43"/>
      <c r="N64" s="43"/>
    </row>
    <row r="65" spans="2:12" s="31" customFormat="1" ht="19.5" customHeight="1" x14ac:dyDescent="0.25">
      <c r="B65" s="151" t="str">
        <f>$B$12</f>
        <v>1/C13.4</v>
      </c>
      <c r="C65" s="33" t="s">
        <v>957</v>
      </c>
      <c r="D65" s="33"/>
      <c r="E65" s="34"/>
      <c r="F65" s="35"/>
      <c r="G65" s="34"/>
      <c r="H65" s="36">
        <f>SUM(H11:H64)</f>
        <v>573300</v>
      </c>
      <c r="I65" s="37"/>
      <c r="L65" s="36">
        <f>SUM(L11:L64)</f>
        <v>54288</v>
      </c>
    </row>
  </sheetData>
  <mergeCells count="4">
    <mergeCell ref="F2:H2"/>
    <mergeCell ref="B6:G8"/>
    <mergeCell ref="H5:H8"/>
    <mergeCell ref="B5:G5"/>
  </mergeCells>
  <printOptions horizontalCentered="1"/>
  <pageMargins left="0.43307086614173229" right="0.31496062992125984" top="0.43307086614173229" bottom="0.62992125984251968" header="0.35433070866141736" footer="0.31496062992125984"/>
  <pageSetup paperSize="9" scale="78"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AE86E-D91D-4022-960F-B2497672458D}">
  <sheetPr>
    <tabColor rgb="FF92D050"/>
  </sheetPr>
  <dimension ref="B1:N55"/>
  <sheetViews>
    <sheetView view="pageBreakPreview" zoomScaleNormal="125" zoomScaleSheetLayoutView="100" zoomScalePageLayoutView="125" workbookViewId="0">
      <selection activeCell="L25" sqref="L25"/>
    </sheetView>
  </sheetViews>
  <sheetFormatPr defaultColWidth="6.6640625" defaultRowHeight="13.2" x14ac:dyDescent="0.25"/>
  <cols>
    <col min="1" max="1" width="0.6640625" style="1" customWidth="1"/>
    <col min="2" max="2" width="11.6640625" style="38" customWidth="1"/>
    <col min="3" max="3" width="45.6640625" style="3" customWidth="1"/>
    <col min="4" max="4" width="4" style="3" customWidth="1"/>
    <col min="5" max="5" width="13.6640625" style="4" customWidth="1"/>
    <col min="6" max="6" width="15.6640625" style="4" customWidth="1"/>
    <col min="7" max="7" width="15.6640625" style="1" customWidth="1"/>
    <col min="8" max="8" width="15.6640625" style="5" customWidth="1"/>
    <col min="9" max="9" width="0.6640625" style="5" customWidth="1"/>
    <col min="10" max="16384" width="6.6640625" style="1"/>
  </cols>
  <sheetData>
    <row r="1" spans="2:14" x14ac:dyDescent="0.25">
      <c r="H1" s="234">
        <f>MAX(H9:H500)</f>
        <v>5502</v>
      </c>
    </row>
    <row r="2" spans="2:14" x14ac:dyDescent="0.25">
      <c r="B2" s="2" t="str">
        <f>Client1</f>
        <v>Province of KwaZulu-Natal</v>
      </c>
      <c r="F2" s="510" t="str">
        <f>"Contract No. "&amp;ContractNo</f>
        <v>Contract No. ZNB02215/00000/00/HOD/INF/23/T</v>
      </c>
      <c r="G2" s="510"/>
      <c r="H2" s="510"/>
      <c r="K2" s="402"/>
      <c r="L2" s="402">
        <f>MAX(L3:L245)</f>
        <v>0</v>
      </c>
      <c r="M2" s="402"/>
      <c r="N2" s="403"/>
    </row>
    <row r="3" spans="2:14" x14ac:dyDescent="0.25">
      <c r="B3" s="96" t="str">
        <f>Client2</f>
        <v>Department of Transport</v>
      </c>
      <c r="K3" s="1" t="s">
        <v>1421</v>
      </c>
      <c r="L3" s="1" t="s">
        <v>1422</v>
      </c>
      <c r="M3" s="1" t="s">
        <v>1423</v>
      </c>
      <c r="N3" s="1" t="s">
        <v>1424</v>
      </c>
    </row>
    <row r="4" spans="2:14" x14ac:dyDescent="0.25">
      <c r="B4" s="84"/>
      <c r="C4" s="84"/>
      <c r="D4" s="84"/>
      <c r="E4" s="85"/>
      <c r="F4" s="85"/>
      <c r="G4" s="86"/>
      <c r="H4" s="98"/>
      <c r="K4" s="86"/>
      <c r="L4" s="86"/>
      <c r="M4" s="86"/>
      <c r="N4" s="86"/>
    </row>
    <row r="5" spans="2:14" x14ac:dyDescent="0.25">
      <c r="B5" s="507" t="s">
        <v>8</v>
      </c>
      <c r="C5" s="508"/>
      <c r="D5" s="508"/>
      <c r="E5" s="508"/>
      <c r="F5" s="508"/>
      <c r="G5" s="508"/>
      <c r="H5" s="535" t="str">
        <f>"CHAPTER "&amp;B12</f>
        <v>CHAPTER 1/C13.7</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36"/>
      <c r="I6" s="9"/>
    </row>
    <row r="7" spans="2:14" ht="12.75" customHeight="1" x14ac:dyDescent="0.25">
      <c r="B7" s="500"/>
      <c r="C7" s="501"/>
      <c r="D7" s="501"/>
      <c r="E7" s="501"/>
      <c r="F7" s="501"/>
      <c r="G7" s="501"/>
      <c r="H7" s="536"/>
      <c r="I7" s="9"/>
    </row>
    <row r="8" spans="2:14" ht="7.5" customHeight="1" x14ac:dyDescent="0.25">
      <c r="B8" s="502"/>
      <c r="C8" s="503"/>
      <c r="D8" s="503"/>
      <c r="E8" s="503"/>
      <c r="F8" s="503"/>
      <c r="G8" s="503"/>
      <c r="H8" s="537"/>
      <c r="I8" s="9"/>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s="10" customFormat="1" ht="25.2" customHeight="1" x14ac:dyDescent="0.25">
      <c r="B10" s="49"/>
      <c r="C10" s="229" t="s">
        <v>1177</v>
      </c>
      <c r="D10" s="492"/>
      <c r="E10" s="54"/>
      <c r="F10" s="54"/>
      <c r="G10" s="54"/>
      <c r="H10" s="54"/>
      <c r="I10" s="13"/>
      <c r="K10" s="17"/>
      <c r="L10" s="17"/>
      <c r="M10" s="17"/>
      <c r="N10" s="17"/>
    </row>
    <row r="11" spans="2:14" x14ac:dyDescent="0.25">
      <c r="B11" s="14"/>
      <c r="C11" s="15"/>
      <c r="D11" s="15"/>
      <c r="E11" s="16"/>
      <c r="F11" s="16"/>
      <c r="G11" s="17"/>
      <c r="H11" s="18" t="str">
        <f>IF(E11="","",F11*G11)</f>
        <v/>
      </c>
      <c r="I11" s="19"/>
      <c r="K11" s="43"/>
      <c r="L11" s="43"/>
      <c r="M11" s="43"/>
      <c r="N11" s="43"/>
    </row>
    <row r="12" spans="2:14" x14ac:dyDescent="0.25">
      <c r="B12" s="20" t="s">
        <v>1258</v>
      </c>
      <c r="C12" s="21" t="s">
        <v>422</v>
      </c>
      <c r="D12" s="21"/>
      <c r="E12" s="23"/>
      <c r="F12" s="23"/>
      <c r="G12" s="43"/>
      <c r="H12" s="26" t="str">
        <f>IF(E12="","",F12*G12)</f>
        <v/>
      </c>
      <c r="I12" s="44"/>
      <c r="K12" s="43"/>
      <c r="L12" s="43"/>
      <c r="M12" s="43"/>
      <c r="N12" s="43"/>
    </row>
    <row r="13" spans="2:14" x14ac:dyDescent="0.25">
      <c r="B13" s="20"/>
      <c r="C13" s="15"/>
      <c r="D13" s="15"/>
      <c r="E13" s="23"/>
      <c r="F13" s="23"/>
      <c r="G13" s="43"/>
      <c r="H13" s="26" t="str">
        <f>IF(E13="","",F13*G13)</f>
        <v/>
      </c>
      <c r="I13" s="44"/>
      <c r="K13" s="25"/>
      <c r="L13" s="48" t="str">
        <f t="shared" ref="L13:L46" si="0">IF(K13="","",K13*F13)</f>
        <v/>
      </c>
      <c r="M13" s="25"/>
      <c r="N13" s="25"/>
    </row>
    <row r="14" spans="2:14" x14ac:dyDescent="0.25">
      <c r="B14" s="22" t="s">
        <v>1259</v>
      </c>
      <c r="C14" s="15" t="s">
        <v>423</v>
      </c>
      <c r="D14" s="15"/>
      <c r="E14" s="23"/>
      <c r="F14" s="24"/>
      <c r="G14" s="43"/>
      <c r="H14" s="26" t="str">
        <f t="shared" ref="H14:H23" si="1">IF(E14="","",F14*G14)</f>
        <v/>
      </c>
      <c r="I14" s="44"/>
      <c r="K14" s="43"/>
      <c r="L14" s="48" t="str">
        <f t="shared" si="0"/>
        <v/>
      </c>
      <c r="M14" s="43"/>
      <c r="N14" s="43"/>
    </row>
    <row r="15" spans="2:14" x14ac:dyDescent="0.25">
      <c r="B15" s="14"/>
      <c r="C15" s="15"/>
      <c r="D15" s="15"/>
      <c r="E15" s="23"/>
      <c r="F15" s="24"/>
      <c r="G15" s="46"/>
      <c r="H15" s="26" t="str">
        <f t="shared" si="1"/>
        <v/>
      </c>
      <c r="I15" s="44"/>
      <c r="K15" s="43"/>
      <c r="L15" s="48" t="str">
        <f t="shared" si="0"/>
        <v/>
      </c>
      <c r="M15" s="43"/>
      <c r="N15" s="43"/>
    </row>
    <row r="16" spans="2:14" ht="15.6" x14ac:dyDescent="0.25">
      <c r="B16" s="14" t="s">
        <v>1260</v>
      </c>
      <c r="C16" s="1" t="s">
        <v>1244</v>
      </c>
      <c r="D16" s="48"/>
      <c r="E16" s="215" t="s">
        <v>80</v>
      </c>
      <c r="F16" s="24">
        <v>7</v>
      </c>
      <c r="G16" s="48">
        <v>210</v>
      </c>
      <c r="H16" s="26">
        <f t="shared" si="1"/>
        <v>1470</v>
      </c>
      <c r="K16" s="43"/>
      <c r="L16" s="48" t="str">
        <f t="shared" si="0"/>
        <v/>
      </c>
      <c r="M16" s="43"/>
      <c r="N16" s="43"/>
    </row>
    <row r="17" spans="2:14" x14ac:dyDescent="0.25">
      <c r="B17" s="14"/>
      <c r="C17" s="15"/>
      <c r="D17" s="15"/>
      <c r="E17" s="23"/>
      <c r="F17" s="24"/>
      <c r="G17" s="48" t="s">
        <v>1556</v>
      </c>
      <c r="H17" s="26" t="str">
        <f t="shared" si="1"/>
        <v/>
      </c>
      <c r="K17" s="43"/>
      <c r="L17" s="48" t="str">
        <f t="shared" si="0"/>
        <v/>
      </c>
      <c r="M17" s="43"/>
      <c r="N17" s="43"/>
    </row>
    <row r="18" spans="2:14" x14ac:dyDescent="0.25">
      <c r="B18" s="14" t="s">
        <v>1261</v>
      </c>
      <c r="C18" s="15" t="s">
        <v>424</v>
      </c>
      <c r="D18" s="15"/>
      <c r="E18" s="23"/>
      <c r="F18" s="24"/>
      <c r="G18" s="48" t="s">
        <v>1556</v>
      </c>
      <c r="H18" s="26" t="str">
        <f t="shared" si="1"/>
        <v/>
      </c>
      <c r="K18" s="43"/>
      <c r="L18" s="48" t="str">
        <f t="shared" si="0"/>
        <v/>
      </c>
      <c r="M18" s="43"/>
      <c r="N18" s="43"/>
    </row>
    <row r="19" spans="2:14" x14ac:dyDescent="0.25">
      <c r="B19" s="22"/>
      <c r="C19" s="15"/>
      <c r="D19" s="15"/>
      <c r="E19" s="23"/>
      <c r="F19" s="24"/>
      <c r="G19" s="50" t="s">
        <v>1556</v>
      </c>
      <c r="H19" s="26" t="str">
        <f t="shared" si="1"/>
        <v/>
      </c>
      <c r="I19" s="44"/>
      <c r="K19" s="43"/>
      <c r="L19" s="48" t="str">
        <f t="shared" si="0"/>
        <v/>
      </c>
      <c r="M19" s="43"/>
      <c r="N19" s="43"/>
    </row>
    <row r="20" spans="2:14" ht="22.8" x14ac:dyDescent="0.2">
      <c r="B20" s="22" t="s">
        <v>1262</v>
      </c>
      <c r="C20" s="214" t="s">
        <v>1242</v>
      </c>
      <c r="D20" s="214"/>
      <c r="E20" s="215" t="s">
        <v>6</v>
      </c>
      <c r="F20" s="24">
        <v>24</v>
      </c>
      <c r="G20" s="233">
        <v>105</v>
      </c>
      <c r="H20" s="26">
        <f t="shared" si="1"/>
        <v>2520</v>
      </c>
      <c r="I20" s="44"/>
      <c r="K20" s="43"/>
      <c r="L20" s="48" t="str">
        <f t="shared" si="0"/>
        <v/>
      </c>
      <c r="M20" s="43"/>
      <c r="N20" s="43"/>
    </row>
    <row r="21" spans="2:14" x14ac:dyDescent="0.2">
      <c r="B21" s="22"/>
      <c r="C21" s="214"/>
      <c r="D21" s="214"/>
      <c r="E21" s="215"/>
      <c r="F21" s="24"/>
      <c r="G21" s="211" t="s">
        <v>1556</v>
      </c>
      <c r="H21" s="26" t="str">
        <f t="shared" si="1"/>
        <v/>
      </c>
      <c r="I21" s="44"/>
      <c r="K21" s="43"/>
      <c r="L21" s="48" t="str">
        <f t="shared" si="0"/>
        <v/>
      </c>
      <c r="M21" s="43"/>
      <c r="N21" s="43"/>
    </row>
    <row r="22" spans="2:14" ht="22.8" x14ac:dyDescent="0.2">
      <c r="B22" s="22" t="s">
        <v>1263</v>
      </c>
      <c r="C22" s="214" t="s">
        <v>1243</v>
      </c>
      <c r="D22" s="214"/>
      <c r="E22" s="215" t="s">
        <v>6</v>
      </c>
      <c r="F22" s="24">
        <v>24</v>
      </c>
      <c r="G22" s="211">
        <v>63</v>
      </c>
      <c r="H22" s="26">
        <f t="shared" si="1"/>
        <v>1512</v>
      </c>
      <c r="I22" s="44"/>
      <c r="K22" s="43"/>
      <c r="L22" s="48" t="str">
        <f t="shared" si="0"/>
        <v/>
      </c>
      <c r="M22" s="43"/>
      <c r="N22" s="43"/>
    </row>
    <row r="23" spans="2:14" x14ac:dyDescent="0.25">
      <c r="B23" s="14"/>
      <c r="C23" s="15"/>
      <c r="D23" s="15"/>
      <c r="E23" s="23"/>
      <c r="F23" s="23"/>
      <c r="G23" s="43"/>
      <c r="H23" s="26" t="str">
        <f t="shared" si="1"/>
        <v/>
      </c>
      <c r="I23" s="44"/>
      <c r="K23" s="43"/>
      <c r="L23" s="48" t="str">
        <f t="shared" si="0"/>
        <v/>
      </c>
      <c r="M23" s="43"/>
      <c r="N23" s="43"/>
    </row>
    <row r="24" spans="2:14" x14ac:dyDescent="0.25">
      <c r="B24" s="14"/>
      <c r="C24" s="15"/>
      <c r="D24" s="15"/>
      <c r="E24" s="23"/>
      <c r="F24" s="23"/>
      <c r="G24" s="43"/>
      <c r="H24" s="26"/>
      <c r="I24" s="44"/>
      <c r="K24" s="43"/>
      <c r="L24" s="48" t="str">
        <f t="shared" si="0"/>
        <v/>
      </c>
      <c r="M24" s="43"/>
      <c r="N24" s="43"/>
    </row>
    <row r="25" spans="2:14" x14ac:dyDescent="0.25">
      <c r="B25" s="14"/>
      <c r="C25" s="15"/>
      <c r="D25" s="15"/>
      <c r="E25" s="23"/>
      <c r="F25" s="23"/>
      <c r="G25" s="41"/>
      <c r="H25" s="26"/>
      <c r="I25" s="44"/>
      <c r="K25" s="43"/>
      <c r="L25" s="48" t="str">
        <f t="shared" si="0"/>
        <v/>
      </c>
      <c r="M25" s="43"/>
      <c r="N25" s="43"/>
    </row>
    <row r="26" spans="2:14" x14ac:dyDescent="0.25">
      <c r="B26" s="22"/>
      <c r="C26" s="15"/>
      <c r="D26" s="15"/>
      <c r="E26" s="23"/>
      <c r="F26" s="23"/>
      <c r="G26" s="41"/>
      <c r="H26" s="26"/>
      <c r="I26" s="44"/>
      <c r="K26" s="43"/>
      <c r="L26" s="48" t="str">
        <f t="shared" si="0"/>
        <v/>
      </c>
      <c r="M26" s="43"/>
      <c r="N26" s="43"/>
    </row>
    <row r="27" spans="2:14" x14ac:dyDescent="0.25">
      <c r="B27" s="22"/>
      <c r="C27" s="15"/>
      <c r="D27" s="15"/>
      <c r="E27" s="23"/>
      <c r="F27" s="23"/>
      <c r="G27" s="41"/>
      <c r="H27" s="26"/>
      <c r="I27" s="44"/>
      <c r="K27" s="43"/>
      <c r="L27" s="48" t="str">
        <f t="shared" si="0"/>
        <v/>
      </c>
      <c r="M27" s="43"/>
      <c r="N27" s="43"/>
    </row>
    <row r="28" spans="2:14" x14ac:dyDescent="0.25">
      <c r="B28" s="22"/>
      <c r="C28" s="15"/>
      <c r="D28" s="15"/>
      <c r="E28" s="23"/>
      <c r="F28" s="23"/>
      <c r="G28" s="41"/>
      <c r="H28" s="26"/>
      <c r="I28" s="44"/>
      <c r="K28" s="43"/>
      <c r="L28" s="48" t="str">
        <f t="shared" si="0"/>
        <v/>
      </c>
      <c r="M28" s="43"/>
      <c r="N28" s="43"/>
    </row>
    <row r="29" spans="2:14" x14ac:dyDescent="0.25">
      <c r="B29" s="14"/>
      <c r="C29" s="15"/>
      <c r="D29" s="15"/>
      <c r="E29" s="23"/>
      <c r="F29" s="23"/>
      <c r="G29" s="41"/>
      <c r="H29" s="26"/>
      <c r="I29" s="44"/>
      <c r="K29" s="43"/>
      <c r="L29" s="48" t="str">
        <f t="shared" si="0"/>
        <v/>
      </c>
      <c r="M29" s="43"/>
      <c r="N29" s="43"/>
    </row>
    <row r="30" spans="2:14" x14ac:dyDescent="0.25">
      <c r="B30" s="14"/>
      <c r="C30" s="15"/>
      <c r="D30" s="15"/>
      <c r="E30" s="23"/>
      <c r="F30" s="23"/>
      <c r="G30" s="41"/>
      <c r="H30" s="26"/>
      <c r="I30" s="44"/>
      <c r="K30" s="43"/>
      <c r="L30" s="48" t="str">
        <f t="shared" si="0"/>
        <v/>
      </c>
      <c r="M30" s="43"/>
      <c r="N30" s="43"/>
    </row>
    <row r="31" spans="2:14" x14ac:dyDescent="0.25">
      <c r="B31" s="14"/>
      <c r="C31" s="15"/>
      <c r="D31" s="15"/>
      <c r="E31" s="23"/>
      <c r="F31" s="23"/>
      <c r="G31" s="41"/>
      <c r="H31" s="26"/>
      <c r="I31" s="44"/>
      <c r="K31" s="43"/>
      <c r="L31" s="48" t="str">
        <f t="shared" si="0"/>
        <v/>
      </c>
      <c r="M31" s="43"/>
      <c r="N31" s="43"/>
    </row>
    <row r="32" spans="2:14" x14ac:dyDescent="0.25">
      <c r="B32" s="14"/>
      <c r="C32" s="15"/>
      <c r="D32" s="15"/>
      <c r="E32" s="23"/>
      <c r="F32" s="23"/>
      <c r="G32" s="41"/>
      <c r="H32" s="26"/>
      <c r="I32" s="44"/>
      <c r="K32" s="43"/>
      <c r="L32" s="48" t="str">
        <f t="shared" si="0"/>
        <v/>
      </c>
      <c r="M32" s="43"/>
      <c r="N32" s="43"/>
    </row>
    <row r="33" spans="2:14" x14ac:dyDescent="0.25">
      <c r="B33" s="14"/>
      <c r="C33" s="15"/>
      <c r="D33" s="15"/>
      <c r="E33" s="23"/>
      <c r="F33" s="23"/>
      <c r="G33" s="51"/>
      <c r="H33" s="26"/>
      <c r="I33" s="44"/>
      <c r="K33" s="43"/>
      <c r="L33" s="48" t="str">
        <f t="shared" si="0"/>
        <v/>
      </c>
      <c r="M33" s="43"/>
      <c r="N33" s="43"/>
    </row>
    <row r="34" spans="2:14" x14ac:dyDescent="0.25">
      <c r="B34" s="14"/>
      <c r="C34" s="15"/>
      <c r="D34" s="15"/>
      <c r="E34" s="23"/>
      <c r="F34" s="23"/>
      <c r="G34" s="51"/>
      <c r="H34" s="26"/>
      <c r="I34" s="44"/>
      <c r="K34" s="43"/>
      <c r="L34" s="48" t="str">
        <f t="shared" si="0"/>
        <v/>
      </c>
      <c r="M34" s="43"/>
      <c r="N34" s="43"/>
    </row>
    <row r="35" spans="2:14" x14ac:dyDescent="0.25">
      <c r="B35" s="14"/>
      <c r="C35" s="15"/>
      <c r="D35" s="15"/>
      <c r="E35" s="23"/>
      <c r="F35" s="23"/>
      <c r="G35" s="41"/>
      <c r="H35" s="26"/>
      <c r="I35" s="44"/>
      <c r="K35" s="43"/>
      <c r="L35" s="48" t="str">
        <f t="shared" si="0"/>
        <v/>
      </c>
      <c r="M35" s="43"/>
      <c r="N35" s="43"/>
    </row>
    <row r="36" spans="2:14" x14ac:dyDescent="0.25">
      <c r="B36" s="14"/>
      <c r="C36" s="15"/>
      <c r="D36" s="15"/>
      <c r="E36" s="23"/>
      <c r="F36" s="23"/>
      <c r="G36" s="41"/>
      <c r="H36" s="26"/>
      <c r="I36" s="44"/>
      <c r="K36" s="43"/>
      <c r="L36" s="48" t="str">
        <f t="shared" si="0"/>
        <v/>
      </c>
      <c r="M36" s="43"/>
      <c r="N36" s="43"/>
    </row>
    <row r="37" spans="2:14" x14ac:dyDescent="0.25">
      <c r="B37" s="14"/>
      <c r="C37" s="15"/>
      <c r="D37" s="15"/>
      <c r="E37" s="23"/>
      <c r="F37" s="23"/>
      <c r="G37" s="41"/>
      <c r="H37" s="26"/>
      <c r="I37" s="44"/>
      <c r="K37" s="43"/>
      <c r="L37" s="48" t="str">
        <f t="shared" si="0"/>
        <v/>
      </c>
      <c r="M37" s="43"/>
      <c r="N37" s="43"/>
    </row>
    <row r="38" spans="2:14" x14ac:dyDescent="0.25">
      <c r="B38" s="14"/>
      <c r="C38" s="15"/>
      <c r="D38" s="15"/>
      <c r="E38" s="23"/>
      <c r="F38" s="23"/>
      <c r="G38" s="41"/>
      <c r="H38" s="26"/>
      <c r="I38" s="44"/>
      <c r="K38" s="43"/>
      <c r="L38" s="48" t="str">
        <f t="shared" si="0"/>
        <v/>
      </c>
      <c r="M38" s="43"/>
      <c r="N38" s="43"/>
    </row>
    <row r="39" spans="2:14" x14ac:dyDescent="0.25">
      <c r="B39" s="14"/>
      <c r="C39" s="15"/>
      <c r="D39" s="15"/>
      <c r="E39" s="23"/>
      <c r="F39" s="23"/>
      <c r="G39" s="41"/>
      <c r="H39" s="26"/>
      <c r="I39" s="44"/>
      <c r="K39" s="43"/>
      <c r="L39" s="48" t="str">
        <f t="shared" si="0"/>
        <v/>
      </c>
      <c r="M39" s="43"/>
      <c r="N39" s="43"/>
    </row>
    <row r="40" spans="2:14" x14ac:dyDescent="0.25">
      <c r="B40" s="14"/>
      <c r="C40" s="15"/>
      <c r="D40" s="15"/>
      <c r="E40" s="23"/>
      <c r="F40" s="23"/>
      <c r="G40" s="41"/>
      <c r="H40" s="26"/>
      <c r="I40" s="44"/>
      <c r="K40" s="43"/>
      <c r="L40" s="48" t="str">
        <f t="shared" si="0"/>
        <v/>
      </c>
      <c r="M40" s="43"/>
      <c r="N40" s="43"/>
    </row>
    <row r="41" spans="2:14" x14ac:dyDescent="0.25">
      <c r="B41" s="14"/>
      <c r="C41" s="15"/>
      <c r="D41" s="15"/>
      <c r="E41" s="23"/>
      <c r="F41" s="23"/>
      <c r="G41" s="41"/>
      <c r="H41" s="26"/>
      <c r="I41" s="44"/>
      <c r="K41" s="43"/>
      <c r="L41" s="48" t="str">
        <f t="shared" si="0"/>
        <v/>
      </c>
      <c r="M41" s="43"/>
      <c r="N41" s="43"/>
    </row>
    <row r="42" spans="2:14" x14ac:dyDescent="0.25">
      <c r="B42" s="14"/>
      <c r="C42" s="15"/>
      <c r="D42" s="15"/>
      <c r="E42" s="40"/>
      <c r="F42" s="23"/>
      <c r="G42" s="41"/>
      <c r="H42" s="26"/>
      <c r="I42" s="44"/>
      <c r="K42" s="43"/>
      <c r="L42" s="48" t="str">
        <f t="shared" si="0"/>
        <v/>
      </c>
      <c r="M42" s="43"/>
      <c r="N42" s="43"/>
    </row>
    <row r="43" spans="2:14" x14ac:dyDescent="0.25">
      <c r="B43" s="14"/>
      <c r="C43" s="15"/>
      <c r="D43" s="15"/>
      <c r="E43" s="23"/>
      <c r="F43" s="40"/>
      <c r="G43" s="41"/>
      <c r="H43" s="26"/>
      <c r="K43" s="43"/>
      <c r="L43" s="48" t="str">
        <f t="shared" si="0"/>
        <v/>
      </c>
      <c r="M43" s="43"/>
      <c r="N43" s="43"/>
    </row>
    <row r="44" spans="2:14" x14ac:dyDescent="0.25">
      <c r="B44" s="14"/>
      <c r="C44" s="15"/>
      <c r="D44" s="15"/>
      <c r="E44" s="40"/>
      <c r="F44" s="23"/>
      <c r="G44" s="41"/>
      <c r="H44" s="26"/>
      <c r="I44" s="44"/>
      <c r="K44" s="43"/>
      <c r="L44" s="48" t="str">
        <f t="shared" si="0"/>
        <v/>
      </c>
      <c r="M44" s="43"/>
      <c r="N44" s="43"/>
    </row>
    <row r="45" spans="2:14" x14ac:dyDescent="0.25">
      <c r="B45" s="14"/>
      <c r="C45" s="15"/>
      <c r="D45" s="15"/>
      <c r="E45" s="40"/>
      <c r="F45" s="40"/>
      <c r="G45" s="41"/>
      <c r="H45" s="26"/>
      <c r="I45" s="52"/>
      <c r="K45" s="43"/>
      <c r="L45" s="48" t="str">
        <f t="shared" si="0"/>
        <v/>
      </c>
      <c r="M45" s="43"/>
      <c r="N45" s="43"/>
    </row>
    <row r="46" spans="2:14" ht="12.75" customHeight="1" x14ac:dyDescent="0.25">
      <c r="B46" s="14"/>
      <c r="C46" s="15"/>
      <c r="D46" s="15"/>
      <c r="E46" s="23"/>
      <c r="F46" s="40"/>
      <c r="G46" s="41"/>
      <c r="H46" s="26"/>
      <c r="K46" s="43"/>
      <c r="L46" s="48" t="str">
        <f t="shared" si="0"/>
        <v/>
      </c>
      <c r="M46" s="43"/>
      <c r="N46" s="43"/>
    </row>
    <row r="47" spans="2:14" x14ac:dyDescent="0.25">
      <c r="B47" s="14"/>
      <c r="C47" s="15"/>
      <c r="D47" s="15"/>
      <c r="E47" s="23"/>
      <c r="F47" s="23"/>
      <c r="G47" s="41"/>
      <c r="H47" s="26"/>
      <c r="I47" s="44"/>
      <c r="K47" s="43"/>
      <c r="L47" s="48" t="str">
        <f t="shared" ref="L47:L54" si="2">IF(K47="","",K47*F47)</f>
        <v/>
      </c>
      <c r="M47" s="43"/>
      <c r="N47" s="43"/>
    </row>
    <row r="48" spans="2:14" x14ac:dyDescent="0.25">
      <c r="B48" s="14"/>
      <c r="C48" s="15"/>
      <c r="D48" s="15"/>
      <c r="E48" s="23"/>
      <c r="F48" s="23"/>
      <c r="G48" s="41"/>
      <c r="H48" s="26"/>
      <c r="I48" s="44"/>
      <c r="K48" s="43"/>
      <c r="L48" s="48" t="str">
        <f t="shared" si="2"/>
        <v/>
      </c>
      <c r="M48" s="43"/>
      <c r="N48" s="43"/>
    </row>
    <row r="49" spans="2:14" x14ac:dyDescent="0.25">
      <c r="B49" s="14"/>
      <c r="C49" s="15"/>
      <c r="D49" s="15"/>
      <c r="E49" s="23"/>
      <c r="F49" s="23"/>
      <c r="G49" s="41"/>
      <c r="H49" s="26"/>
      <c r="I49" s="44"/>
      <c r="K49" s="43"/>
      <c r="L49" s="48" t="str">
        <f t="shared" si="2"/>
        <v/>
      </c>
      <c r="M49" s="43"/>
      <c r="N49" s="43"/>
    </row>
    <row r="50" spans="2:14" x14ac:dyDescent="0.25">
      <c r="B50" s="14"/>
      <c r="C50" s="15"/>
      <c r="D50" s="15"/>
      <c r="E50" s="23"/>
      <c r="F50" s="23"/>
      <c r="G50" s="41"/>
      <c r="H50" s="26"/>
      <c r="I50" s="44"/>
      <c r="K50" s="43"/>
      <c r="L50" s="48" t="str">
        <f t="shared" si="2"/>
        <v/>
      </c>
      <c r="M50" s="43"/>
      <c r="N50" s="43"/>
    </row>
    <row r="51" spans="2:14" x14ac:dyDescent="0.25">
      <c r="B51" s="14"/>
      <c r="C51" s="15"/>
      <c r="D51" s="15"/>
      <c r="E51" s="23"/>
      <c r="F51" s="23"/>
      <c r="G51" s="41"/>
      <c r="H51" s="26"/>
      <c r="I51" s="44"/>
      <c r="K51" s="43"/>
      <c r="L51" s="48" t="str">
        <f t="shared" si="2"/>
        <v/>
      </c>
      <c r="M51" s="43"/>
      <c r="N51" s="43"/>
    </row>
    <row r="52" spans="2:14" x14ac:dyDescent="0.25">
      <c r="B52" s="14"/>
      <c r="C52" s="15"/>
      <c r="D52" s="15"/>
      <c r="E52" s="23"/>
      <c r="F52" s="23"/>
      <c r="G52" s="41"/>
      <c r="H52" s="26"/>
      <c r="I52" s="44"/>
      <c r="K52" s="43"/>
      <c r="L52" s="48" t="str">
        <f t="shared" si="2"/>
        <v/>
      </c>
      <c r="M52" s="43"/>
      <c r="N52" s="43"/>
    </row>
    <row r="53" spans="2:14" x14ac:dyDescent="0.25">
      <c r="B53" s="14"/>
      <c r="C53" s="15"/>
      <c r="D53" s="15"/>
      <c r="E53" s="23"/>
      <c r="F53" s="23"/>
      <c r="G53" s="41"/>
      <c r="H53" s="26"/>
      <c r="I53" s="44"/>
      <c r="K53" s="43"/>
      <c r="L53" s="48" t="str">
        <f t="shared" si="2"/>
        <v/>
      </c>
      <c r="M53" s="43"/>
      <c r="N53" s="43"/>
    </row>
    <row r="54" spans="2:14" x14ac:dyDescent="0.25">
      <c r="B54" s="22"/>
      <c r="C54" s="15"/>
      <c r="D54" s="15"/>
      <c r="E54" s="23"/>
      <c r="F54" s="23"/>
      <c r="G54" s="41"/>
      <c r="H54" s="26"/>
      <c r="I54" s="44"/>
      <c r="K54" s="43"/>
      <c r="L54" s="48" t="str">
        <f t="shared" si="2"/>
        <v/>
      </c>
      <c r="M54" s="43"/>
      <c r="N54" s="43"/>
    </row>
    <row r="55" spans="2:14" s="31" customFormat="1" x14ac:dyDescent="0.25">
      <c r="B55" s="32" t="str">
        <f>B12</f>
        <v>1/C13.7</v>
      </c>
      <c r="C55" s="33" t="s">
        <v>12</v>
      </c>
      <c r="D55" s="33"/>
      <c r="E55" s="34"/>
      <c r="F55" s="35"/>
      <c r="G55" s="34"/>
      <c r="H55" s="36">
        <f>SUM(H11:H54)</f>
        <v>5502</v>
      </c>
      <c r="I55" s="37"/>
      <c r="L55" s="36">
        <f>SUM(L11:L54)</f>
        <v>0</v>
      </c>
    </row>
  </sheetData>
  <mergeCells count="4">
    <mergeCell ref="F2:H2"/>
    <mergeCell ref="B5:G5"/>
    <mergeCell ref="H5:H8"/>
    <mergeCell ref="B6:G8"/>
  </mergeCells>
  <printOptions horizontalCentered="1"/>
  <pageMargins left="0.43307086614173229" right="0.31496062992125984" top="0.43307086614173229" bottom="0.62992125984251968" header="0.35433070866141736" footer="0.31496062992125984"/>
  <pageSetup paperSize="9" scale="78"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FB20E-E406-4622-81D6-07D3AE367F56}">
  <sheetPr codeName="Sheet33">
    <tabColor rgb="FF92D050"/>
  </sheetPr>
  <dimension ref="A1:N44"/>
  <sheetViews>
    <sheetView view="pageBreakPreview" topLeftCell="A26" zoomScaleNormal="125" zoomScaleSheetLayoutView="100" zoomScalePageLayoutView="125" workbookViewId="0">
      <selection activeCell="L25" sqref="L25"/>
    </sheetView>
  </sheetViews>
  <sheetFormatPr defaultColWidth="6.6640625" defaultRowHeight="13.2" x14ac:dyDescent="0.25"/>
  <cols>
    <col min="1" max="1" width="0.6640625" style="1" customWidth="1"/>
    <col min="2" max="2" width="11.5546875" style="38" customWidth="1"/>
    <col min="3" max="3" width="45.5546875" style="3" customWidth="1"/>
    <col min="4" max="4" width="4.10937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1" width="6.6640625" style="1"/>
    <col min="12" max="12" width="9.6640625" style="1" bestFit="1" customWidth="1"/>
    <col min="13" max="16384" width="6.6640625" style="1"/>
  </cols>
  <sheetData>
    <row r="1" spans="1:14" x14ac:dyDescent="0.25">
      <c r="H1" s="234">
        <f>MAX(H9:H496)</f>
        <v>90448</v>
      </c>
    </row>
    <row r="2" spans="1:14" x14ac:dyDescent="0.25">
      <c r="B2" s="2" t="str">
        <f>Client1</f>
        <v>Province of KwaZulu-Natal</v>
      </c>
      <c r="F2" s="510" t="str">
        <f>"Contract No. "&amp;ContractNo</f>
        <v>Contract No. ZNB02215/00000/00/HOD/INF/23/T</v>
      </c>
      <c r="G2" s="510"/>
      <c r="H2" s="510"/>
      <c r="K2" s="402"/>
      <c r="L2" s="402">
        <f>MAX(L3:L241)</f>
        <v>4230.7000000000007</v>
      </c>
      <c r="M2" s="402"/>
      <c r="N2" s="403"/>
    </row>
    <row r="3" spans="1:14" x14ac:dyDescent="0.25">
      <c r="B3" s="96" t="str">
        <f>Client2</f>
        <v>Department of Transport</v>
      </c>
      <c r="K3" s="1" t="s">
        <v>1421</v>
      </c>
      <c r="L3" s="1" t="s">
        <v>1422</v>
      </c>
      <c r="M3" s="1" t="s">
        <v>1423</v>
      </c>
      <c r="N3" s="1" t="s">
        <v>1424</v>
      </c>
    </row>
    <row r="4" spans="1:14" x14ac:dyDescent="0.25">
      <c r="B4" s="84"/>
      <c r="C4" s="84"/>
      <c r="D4" s="84"/>
      <c r="E4" s="85"/>
      <c r="F4" s="85"/>
      <c r="G4" s="86"/>
      <c r="H4" s="98"/>
      <c r="K4" s="86"/>
      <c r="L4" s="86"/>
      <c r="M4" s="86"/>
      <c r="N4" s="86"/>
    </row>
    <row r="5" spans="1:14" x14ac:dyDescent="0.25">
      <c r="B5" s="507" t="s">
        <v>8</v>
      </c>
      <c r="C5" s="508"/>
      <c r="D5" s="508"/>
      <c r="E5" s="508"/>
      <c r="F5" s="508"/>
      <c r="G5" s="508"/>
      <c r="H5" s="519" t="str">
        <f>"CHAPTER "&amp;B12</f>
        <v>CHAPTER 1/C13.8</v>
      </c>
      <c r="I5" s="6"/>
    </row>
    <row r="6" spans="1:14" ht="7.5" customHeight="1" x14ac:dyDescent="0.25">
      <c r="B6" s="500" t="str">
        <f>ContractDescription</f>
        <v>UPGRADING OF MAIN ROAD P8/3 FROM GRAVEL TO BLACKTOP BETWEEN KM 17.560 AND KM 24.221 IN THE PIETERMARITZBURG REGION</v>
      </c>
      <c r="C6" s="501"/>
      <c r="D6" s="501"/>
      <c r="E6" s="501"/>
      <c r="F6" s="501"/>
      <c r="G6" s="501"/>
      <c r="H6" s="520"/>
      <c r="I6" s="9"/>
    </row>
    <row r="7" spans="1:14" ht="12.75" customHeight="1" x14ac:dyDescent="0.25">
      <c r="B7" s="500"/>
      <c r="C7" s="501"/>
      <c r="D7" s="501"/>
      <c r="E7" s="501"/>
      <c r="F7" s="501"/>
      <c r="G7" s="501"/>
      <c r="H7" s="520"/>
      <c r="I7" s="9"/>
    </row>
    <row r="8" spans="1:14" ht="7.5" customHeight="1" x14ac:dyDescent="0.25">
      <c r="B8" s="502"/>
      <c r="C8" s="503"/>
      <c r="D8" s="503"/>
      <c r="E8" s="503"/>
      <c r="F8" s="503"/>
      <c r="G8" s="503"/>
      <c r="H8" s="521"/>
      <c r="I8" s="9"/>
    </row>
    <row r="9" spans="1:14" s="10" customFormat="1" ht="25.2" customHeight="1" x14ac:dyDescent="0.25">
      <c r="B9" s="11" t="s">
        <v>0</v>
      </c>
      <c r="C9" s="12" t="s">
        <v>1</v>
      </c>
      <c r="D9" s="12" t="s">
        <v>1602</v>
      </c>
      <c r="E9" s="12" t="s">
        <v>2</v>
      </c>
      <c r="F9" s="12" t="s">
        <v>3</v>
      </c>
      <c r="G9" s="12" t="s">
        <v>4</v>
      </c>
      <c r="H9" s="12" t="s">
        <v>5</v>
      </c>
      <c r="I9" s="13"/>
      <c r="K9" s="12"/>
      <c r="L9" s="12"/>
      <c r="M9" s="12"/>
      <c r="N9" s="12"/>
    </row>
    <row r="10" spans="1:14" s="10" customFormat="1" ht="25.2" customHeight="1" x14ac:dyDescent="0.25">
      <c r="B10" s="49"/>
      <c r="C10" s="229" t="s">
        <v>1177</v>
      </c>
      <c r="D10" s="492"/>
      <c r="E10" s="54"/>
      <c r="F10" s="54"/>
      <c r="G10" s="54"/>
      <c r="H10" s="54"/>
      <c r="I10" s="13"/>
      <c r="K10" s="17"/>
      <c r="L10" s="17"/>
      <c r="M10" s="17"/>
      <c r="N10" s="17"/>
    </row>
    <row r="11" spans="1:14" x14ac:dyDescent="0.25">
      <c r="A11" s="5"/>
      <c r="B11" s="53"/>
      <c r="C11" s="15"/>
      <c r="D11" s="15"/>
      <c r="E11" s="16"/>
      <c r="F11" s="16"/>
      <c r="G11" s="17"/>
      <c r="H11" s="18" t="str">
        <f t="shared" ref="H11:H19" si="0">IF(E11="","",F11*G11)</f>
        <v/>
      </c>
      <c r="I11" s="19"/>
      <c r="K11" s="43"/>
      <c r="L11" s="43"/>
      <c r="M11" s="43"/>
      <c r="N11" s="43"/>
    </row>
    <row r="12" spans="1:14" x14ac:dyDescent="0.25">
      <c r="A12" s="5"/>
      <c r="B12" s="80" t="s">
        <v>1245</v>
      </c>
      <c r="C12" s="21" t="s">
        <v>426</v>
      </c>
      <c r="D12" s="21"/>
      <c r="E12" s="23"/>
      <c r="F12" s="23"/>
      <c r="G12" s="43"/>
      <c r="H12" s="18" t="str">
        <f t="shared" si="0"/>
        <v/>
      </c>
      <c r="I12" s="44"/>
      <c r="K12" s="43"/>
      <c r="L12" s="43"/>
      <c r="M12" s="43"/>
      <c r="N12" s="43"/>
    </row>
    <row r="13" spans="1:14" x14ac:dyDescent="0.25">
      <c r="A13" s="5"/>
      <c r="B13" s="80"/>
      <c r="C13" s="15"/>
      <c r="D13" s="15"/>
      <c r="E13" s="23"/>
      <c r="F13" s="23"/>
      <c r="G13" s="43"/>
      <c r="H13" s="18" t="str">
        <f t="shared" si="0"/>
        <v/>
      </c>
      <c r="I13" s="44"/>
      <c r="K13" s="25"/>
      <c r="L13" s="48" t="str">
        <f t="shared" ref="L13:L42" si="1">IF(K13="","",K13*F13)</f>
        <v/>
      </c>
      <c r="M13" s="25"/>
      <c r="N13" s="25"/>
    </row>
    <row r="14" spans="1:14" x14ac:dyDescent="0.25">
      <c r="A14" s="5"/>
      <c r="B14" s="53"/>
      <c r="C14" s="15"/>
      <c r="D14" s="15"/>
      <c r="E14" s="23"/>
      <c r="F14" s="24"/>
      <c r="G14" s="50"/>
      <c r="H14" s="18" t="str">
        <f t="shared" si="0"/>
        <v/>
      </c>
      <c r="I14" s="44"/>
      <c r="K14" s="43"/>
      <c r="L14" s="48" t="str">
        <f t="shared" si="1"/>
        <v/>
      </c>
      <c r="M14" s="43"/>
      <c r="N14" s="43"/>
    </row>
    <row r="15" spans="1:14" x14ac:dyDescent="0.25">
      <c r="A15" s="5"/>
      <c r="B15" s="53" t="s">
        <v>1246</v>
      </c>
      <c r="C15" s="15" t="s">
        <v>427</v>
      </c>
      <c r="D15" s="15"/>
      <c r="E15" s="23"/>
      <c r="F15" s="24"/>
      <c r="G15" s="50"/>
      <c r="H15" s="18" t="str">
        <f t="shared" si="0"/>
        <v/>
      </c>
      <c r="I15" s="44"/>
      <c r="K15" s="43"/>
      <c r="L15" s="48" t="str">
        <f t="shared" si="1"/>
        <v/>
      </c>
      <c r="M15" s="43"/>
      <c r="N15" s="43"/>
    </row>
    <row r="16" spans="1:14" x14ac:dyDescent="0.25">
      <c r="A16" s="5"/>
      <c r="B16" s="53"/>
      <c r="C16" s="15"/>
      <c r="D16" s="15"/>
      <c r="E16" s="23"/>
      <c r="F16" s="23"/>
      <c r="G16" s="43"/>
      <c r="H16" s="18" t="str">
        <f t="shared" si="0"/>
        <v/>
      </c>
      <c r="I16" s="44"/>
      <c r="K16" s="43"/>
      <c r="L16" s="48" t="str">
        <f t="shared" si="1"/>
        <v/>
      </c>
      <c r="M16" s="43"/>
      <c r="N16" s="43"/>
    </row>
    <row r="17" spans="1:14" x14ac:dyDescent="0.25">
      <c r="A17" s="5"/>
      <c r="B17" s="53" t="s">
        <v>1247</v>
      </c>
      <c r="C17" s="15" t="s">
        <v>428</v>
      </c>
      <c r="D17" s="15"/>
      <c r="E17" s="23" t="s">
        <v>44</v>
      </c>
      <c r="F17" s="23">
        <v>2</v>
      </c>
      <c r="G17" s="41">
        <v>158</v>
      </c>
      <c r="H17" s="18">
        <f t="shared" si="0"/>
        <v>316</v>
      </c>
      <c r="I17" s="44"/>
      <c r="K17" s="43">
        <f>G17*5%</f>
        <v>7.9</v>
      </c>
      <c r="L17" s="48">
        <f t="shared" si="1"/>
        <v>15.8</v>
      </c>
      <c r="M17" s="43"/>
      <c r="N17" s="43"/>
    </row>
    <row r="18" spans="1:14" x14ac:dyDescent="0.25">
      <c r="A18" s="5"/>
      <c r="B18" s="53"/>
      <c r="C18" s="15"/>
      <c r="D18" s="15"/>
      <c r="E18" s="23"/>
      <c r="F18" s="23"/>
      <c r="G18" s="41" t="s">
        <v>1556</v>
      </c>
      <c r="H18" s="18" t="str">
        <f t="shared" si="0"/>
        <v/>
      </c>
      <c r="I18" s="44"/>
      <c r="K18" s="43"/>
      <c r="L18" s="48" t="str">
        <f t="shared" si="1"/>
        <v/>
      </c>
      <c r="M18" s="43"/>
      <c r="N18" s="43"/>
    </row>
    <row r="19" spans="1:14" x14ac:dyDescent="0.25">
      <c r="A19" s="5"/>
      <c r="B19" s="53" t="s">
        <v>1248</v>
      </c>
      <c r="C19" s="15" t="s">
        <v>429</v>
      </c>
      <c r="D19" s="15"/>
      <c r="E19" s="23" t="s">
        <v>44</v>
      </c>
      <c r="F19" s="23">
        <v>2</v>
      </c>
      <c r="G19" s="41">
        <v>5250</v>
      </c>
      <c r="H19" s="18">
        <f t="shared" si="0"/>
        <v>10500</v>
      </c>
      <c r="I19" s="44"/>
      <c r="K19" s="43"/>
      <c r="L19" s="48" t="str">
        <f t="shared" si="1"/>
        <v/>
      </c>
      <c r="M19" s="43"/>
      <c r="N19" s="43"/>
    </row>
    <row r="20" spans="1:14" x14ac:dyDescent="0.25">
      <c r="A20" s="5"/>
      <c r="B20" s="53"/>
      <c r="C20" s="15"/>
      <c r="D20" s="15"/>
      <c r="E20" s="23"/>
      <c r="F20" s="23"/>
      <c r="G20" s="41" t="s">
        <v>1556</v>
      </c>
      <c r="H20" s="18" t="str">
        <f t="shared" ref="H20:H33" si="2">IF(E20="","",F20*G20)</f>
        <v/>
      </c>
      <c r="I20" s="44"/>
      <c r="K20" s="43"/>
      <c r="L20" s="48" t="str">
        <f t="shared" si="1"/>
        <v/>
      </c>
      <c r="M20" s="43"/>
      <c r="N20" s="43"/>
    </row>
    <row r="21" spans="1:14" ht="15.6" x14ac:dyDescent="0.25">
      <c r="A21" s="5"/>
      <c r="B21" s="53" t="s">
        <v>1249</v>
      </c>
      <c r="C21" s="15" t="s">
        <v>1236</v>
      </c>
      <c r="D21" s="15"/>
      <c r="E21" s="23" t="s">
        <v>34</v>
      </c>
      <c r="F21" s="23">
        <v>10</v>
      </c>
      <c r="G21" s="41">
        <v>3990</v>
      </c>
      <c r="H21" s="18">
        <f t="shared" si="2"/>
        <v>39900</v>
      </c>
      <c r="I21" s="44"/>
      <c r="K21" s="43">
        <f>G21*5%</f>
        <v>199.5</v>
      </c>
      <c r="L21" s="48">
        <f t="shared" si="1"/>
        <v>1995</v>
      </c>
      <c r="M21" s="43"/>
      <c r="N21" s="43"/>
    </row>
    <row r="22" spans="1:14" x14ac:dyDescent="0.25">
      <c r="A22" s="5"/>
      <c r="B22" s="53"/>
      <c r="C22" s="15"/>
      <c r="D22" s="15"/>
      <c r="E22" s="23"/>
      <c r="F22" s="23"/>
      <c r="G22" s="51" t="s">
        <v>1556</v>
      </c>
      <c r="H22" s="18" t="str">
        <f t="shared" si="2"/>
        <v/>
      </c>
      <c r="I22" s="44"/>
      <c r="K22" s="43"/>
      <c r="L22" s="48" t="str">
        <f t="shared" si="1"/>
        <v/>
      </c>
      <c r="M22" s="43"/>
      <c r="N22" s="43"/>
    </row>
    <row r="23" spans="1:14" x14ac:dyDescent="0.25">
      <c r="A23" s="5"/>
      <c r="B23" s="53" t="s">
        <v>1250</v>
      </c>
      <c r="C23" s="15" t="s">
        <v>430</v>
      </c>
      <c r="D23" s="15"/>
      <c r="E23" s="23"/>
      <c r="F23" s="23"/>
      <c r="G23" s="51" t="s">
        <v>1556</v>
      </c>
      <c r="H23" s="18" t="str">
        <f t="shared" si="2"/>
        <v/>
      </c>
      <c r="I23" s="44"/>
      <c r="K23" s="43"/>
      <c r="L23" s="48" t="str">
        <f t="shared" si="1"/>
        <v/>
      </c>
      <c r="M23" s="43"/>
      <c r="N23" s="43"/>
    </row>
    <row r="24" spans="1:14" x14ac:dyDescent="0.25">
      <c r="A24" s="5"/>
      <c r="B24" s="53"/>
      <c r="C24" s="15"/>
      <c r="D24" s="15"/>
      <c r="E24" s="23"/>
      <c r="F24" s="23"/>
      <c r="G24" s="41" t="s">
        <v>1556</v>
      </c>
      <c r="H24" s="18" t="str">
        <f t="shared" si="2"/>
        <v/>
      </c>
      <c r="I24" s="44"/>
      <c r="K24" s="43"/>
      <c r="L24" s="48" t="str">
        <f t="shared" si="1"/>
        <v/>
      </c>
      <c r="M24" s="43"/>
      <c r="N24" s="43"/>
    </row>
    <row r="25" spans="1:14" x14ac:dyDescent="0.25">
      <c r="A25" s="5"/>
      <c r="B25" s="53" t="s">
        <v>1251</v>
      </c>
      <c r="C25" s="15" t="s">
        <v>431</v>
      </c>
      <c r="D25" s="15"/>
      <c r="E25" s="23"/>
      <c r="F25" s="23"/>
      <c r="G25" s="41" t="s">
        <v>1556</v>
      </c>
      <c r="H25" s="18" t="str">
        <f t="shared" si="2"/>
        <v/>
      </c>
      <c r="I25" s="44"/>
      <c r="K25" s="43"/>
      <c r="L25" s="48" t="str">
        <f t="shared" si="1"/>
        <v/>
      </c>
      <c r="M25" s="43"/>
      <c r="N25" s="43"/>
    </row>
    <row r="26" spans="1:14" x14ac:dyDescent="0.25">
      <c r="A26" s="5"/>
      <c r="B26" s="53"/>
      <c r="C26" s="15"/>
      <c r="D26" s="15"/>
      <c r="E26" s="23"/>
      <c r="F26" s="23"/>
      <c r="G26" s="41" t="s">
        <v>1556</v>
      </c>
      <c r="H26" s="18" t="str">
        <f t="shared" si="2"/>
        <v/>
      </c>
      <c r="I26" s="44"/>
      <c r="K26" s="43"/>
      <c r="L26" s="48" t="str">
        <f t="shared" si="1"/>
        <v/>
      </c>
      <c r="M26" s="43"/>
      <c r="N26" s="43"/>
    </row>
    <row r="27" spans="1:14" x14ac:dyDescent="0.25">
      <c r="A27" s="5"/>
      <c r="B27" s="53" t="s">
        <v>49</v>
      </c>
      <c r="C27" s="15" t="s">
        <v>1237</v>
      </c>
      <c r="D27" s="15"/>
      <c r="E27" s="23" t="s">
        <v>6</v>
      </c>
      <c r="F27" s="23">
        <v>37</v>
      </c>
      <c r="G27" s="41">
        <v>126</v>
      </c>
      <c r="H27" s="18">
        <f t="shared" si="2"/>
        <v>4662</v>
      </c>
      <c r="I27" s="44"/>
      <c r="K27" s="43"/>
      <c r="L27" s="48" t="str">
        <f t="shared" si="1"/>
        <v/>
      </c>
      <c r="M27" s="43"/>
      <c r="N27" s="43"/>
    </row>
    <row r="28" spans="1:14" x14ac:dyDescent="0.25">
      <c r="A28" s="5"/>
      <c r="B28" s="53"/>
      <c r="C28" s="15"/>
      <c r="D28" s="15"/>
      <c r="E28" s="23"/>
      <c r="F28" s="23"/>
      <c r="G28" s="41" t="s">
        <v>1556</v>
      </c>
      <c r="H28" s="18" t="str">
        <f t="shared" si="2"/>
        <v/>
      </c>
      <c r="I28" s="44"/>
      <c r="K28" s="43"/>
      <c r="L28" s="48" t="str">
        <f t="shared" si="1"/>
        <v/>
      </c>
      <c r="M28" s="43"/>
      <c r="N28" s="43"/>
    </row>
    <row r="29" spans="1:14" x14ac:dyDescent="0.25">
      <c r="A29" s="5"/>
      <c r="B29" s="53" t="s">
        <v>1252</v>
      </c>
      <c r="C29" s="15" t="s">
        <v>432</v>
      </c>
      <c r="D29" s="15"/>
      <c r="E29" s="40"/>
      <c r="F29" s="23"/>
      <c r="G29" s="41" t="s">
        <v>1556</v>
      </c>
      <c r="H29" s="18" t="str">
        <f t="shared" si="2"/>
        <v/>
      </c>
      <c r="I29" s="44"/>
      <c r="K29" s="43"/>
      <c r="L29" s="48" t="str">
        <f t="shared" si="1"/>
        <v/>
      </c>
      <c r="M29" s="43"/>
      <c r="N29" s="43"/>
    </row>
    <row r="30" spans="1:14" x14ac:dyDescent="0.25">
      <c r="A30" s="5"/>
      <c r="B30" s="53"/>
      <c r="C30" s="15"/>
      <c r="D30" s="15"/>
      <c r="E30" s="23"/>
      <c r="F30" s="40"/>
      <c r="G30" s="41" t="s">
        <v>1556</v>
      </c>
      <c r="H30" s="18" t="str">
        <f t="shared" si="2"/>
        <v/>
      </c>
      <c r="K30" s="43"/>
      <c r="L30" s="48" t="str">
        <f t="shared" si="1"/>
        <v/>
      </c>
      <c r="M30" s="43"/>
      <c r="N30" s="43"/>
    </row>
    <row r="31" spans="1:14" x14ac:dyDescent="0.25">
      <c r="A31" s="5"/>
      <c r="B31" s="53" t="s">
        <v>49</v>
      </c>
      <c r="C31" s="15" t="s">
        <v>1238</v>
      </c>
      <c r="D31" s="15"/>
      <c r="E31" s="40" t="s">
        <v>6</v>
      </c>
      <c r="F31" s="23">
        <v>21</v>
      </c>
      <c r="G31" s="41">
        <v>95</v>
      </c>
      <c r="H31" s="18">
        <f t="shared" si="2"/>
        <v>1995</v>
      </c>
      <c r="I31" s="44"/>
      <c r="K31" s="43">
        <f>_Subsoil</f>
        <v>8</v>
      </c>
      <c r="L31" s="48">
        <f t="shared" si="1"/>
        <v>168</v>
      </c>
      <c r="M31" s="43"/>
      <c r="N31" s="43"/>
    </row>
    <row r="32" spans="1:14" x14ac:dyDescent="0.25">
      <c r="A32" s="5"/>
      <c r="B32" s="53"/>
      <c r="C32" s="15"/>
      <c r="D32" s="15"/>
      <c r="E32" s="23"/>
      <c r="F32" s="23"/>
      <c r="G32" s="41" t="s">
        <v>1556</v>
      </c>
      <c r="H32" s="18" t="str">
        <f t="shared" si="2"/>
        <v/>
      </c>
      <c r="I32" s="44"/>
      <c r="K32" s="43"/>
      <c r="L32" s="48" t="str">
        <f t="shared" si="1"/>
        <v/>
      </c>
      <c r="M32" s="43"/>
      <c r="N32" s="43"/>
    </row>
    <row r="33" spans="1:14" ht="15.6" x14ac:dyDescent="0.25">
      <c r="A33" s="5"/>
      <c r="B33" s="53" t="s">
        <v>1253</v>
      </c>
      <c r="C33" s="15" t="s">
        <v>1241</v>
      </c>
      <c r="D33" s="15"/>
      <c r="E33" s="23" t="s">
        <v>80</v>
      </c>
      <c r="F33" s="23">
        <v>23</v>
      </c>
      <c r="G33" s="41">
        <v>105</v>
      </c>
      <c r="H33" s="18">
        <f t="shared" si="2"/>
        <v>2415</v>
      </c>
      <c r="I33" s="44"/>
      <c r="K33" s="43">
        <f>_Geofabric</f>
        <v>5.3</v>
      </c>
      <c r="L33" s="48">
        <f t="shared" si="1"/>
        <v>121.89999999999999</v>
      </c>
      <c r="M33" s="43"/>
      <c r="N33" s="43"/>
    </row>
    <row r="34" spans="1:14" ht="12.75" customHeight="1" x14ac:dyDescent="0.25">
      <c r="A34" s="5"/>
      <c r="B34" s="53"/>
      <c r="C34" s="15"/>
      <c r="D34" s="15"/>
      <c r="E34" s="23"/>
      <c r="F34" s="23"/>
      <c r="G34" s="41" t="s">
        <v>1556</v>
      </c>
      <c r="H34" s="18"/>
      <c r="I34" s="44"/>
      <c r="K34" s="43"/>
      <c r="L34" s="48" t="str">
        <f t="shared" si="1"/>
        <v/>
      </c>
      <c r="M34" s="43"/>
      <c r="N34" s="43"/>
    </row>
    <row r="35" spans="1:14" ht="15.6" x14ac:dyDescent="0.25">
      <c r="A35" s="5"/>
      <c r="B35" s="53" t="s">
        <v>1254</v>
      </c>
      <c r="C35" s="15" t="s">
        <v>1512</v>
      </c>
      <c r="D35" s="15"/>
      <c r="E35" s="23" t="s">
        <v>34</v>
      </c>
      <c r="F35" s="23">
        <v>2</v>
      </c>
      <c r="G35" s="41">
        <v>630</v>
      </c>
      <c r="H35" s="18">
        <f>IF(E35="","",F35*G35)</f>
        <v>1260</v>
      </c>
      <c r="I35" s="44"/>
      <c r="K35" s="43">
        <f>_Backfill</f>
        <v>45</v>
      </c>
      <c r="L35" s="48">
        <f t="shared" si="1"/>
        <v>90</v>
      </c>
      <c r="M35" s="43"/>
      <c r="N35" s="43"/>
    </row>
    <row r="36" spans="1:14" x14ac:dyDescent="0.25">
      <c r="A36" s="5"/>
      <c r="B36" s="53"/>
      <c r="C36" s="15"/>
      <c r="D36" s="15"/>
      <c r="E36" s="23"/>
      <c r="F36" s="23"/>
      <c r="G36" s="41" t="s">
        <v>1556</v>
      </c>
      <c r="H36" s="18" t="str">
        <f>IF(E36="","",F36*G36)</f>
        <v/>
      </c>
      <c r="I36" s="44"/>
      <c r="K36" s="43"/>
      <c r="L36" s="48" t="str">
        <f t="shared" si="1"/>
        <v/>
      </c>
      <c r="M36" s="43"/>
      <c r="N36" s="43"/>
    </row>
    <row r="37" spans="1:14" x14ac:dyDescent="0.25">
      <c r="A37" s="5"/>
      <c r="B37" s="53" t="s">
        <v>1255</v>
      </c>
      <c r="C37" s="15" t="s">
        <v>1240</v>
      </c>
      <c r="D37" s="15"/>
      <c r="E37" s="23" t="s">
        <v>6</v>
      </c>
      <c r="F37" s="23">
        <v>180</v>
      </c>
      <c r="G37" s="41">
        <v>105</v>
      </c>
      <c r="H37" s="18">
        <f>IF(E37="","",F37*G37)</f>
        <v>18900</v>
      </c>
      <c r="I37" s="44"/>
      <c r="K37" s="43">
        <f>_Subsoil</f>
        <v>8</v>
      </c>
      <c r="L37" s="48">
        <f t="shared" si="1"/>
        <v>1440</v>
      </c>
      <c r="M37" s="43"/>
      <c r="N37" s="43"/>
    </row>
    <row r="38" spans="1:14" x14ac:dyDescent="0.25">
      <c r="A38" s="5"/>
      <c r="B38" s="53"/>
      <c r="C38" s="15"/>
      <c r="D38" s="15"/>
      <c r="E38" s="23"/>
      <c r="F38" s="23"/>
      <c r="G38" s="41" t="s">
        <v>1556</v>
      </c>
      <c r="H38" s="18"/>
      <c r="I38" s="44"/>
      <c r="K38" s="43"/>
      <c r="L38" s="48" t="str">
        <f t="shared" si="1"/>
        <v/>
      </c>
      <c r="M38" s="43"/>
      <c r="N38" s="43"/>
    </row>
    <row r="39" spans="1:14" x14ac:dyDescent="0.25">
      <c r="A39" s="5"/>
      <c r="B39" s="53" t="s">
        <v>1256</v>
      </c>
      <c r="C39" s="15" t="s">
        <v>433</v>
      </c>
      <c r="D39" s="15"/>
      <c r="E39" s="23"/>
      <c r="F39" s="23"/>
      <c r="G39" s="41" t="s">
        <v>1556</v>
      </c>
      <c r="H39" s="18" t="str">
        <f>IF(E39="","",F39*G39)</f>
        <v/>
      </c>
      <c r="I39" s="44"/>
      <c r="K39" s="43"/>
      <c r="L39" s="48" t="str">
        <f t="shared" si="1"/>
        <v/>
      </c>
      <c r="M39" s="43"/>
      <c r="N39" s="43"/>
    </row>
    <row r="40" spans="1:14" x14ac:dyDescent="0.25">
      <c r="A40" s="5"/>
      <c r="B40" s="53"/>
      <c r="C40" s="15"/>
      <c r="D40" s="15"/>
      <c r="E40" s="23"/>
      <c r="F40" s="23"/>
      <c r="G40" s="41" t="s">
        <v>1556</v>
      </c>
      <c r="H40" s="18" t="str">
        <f>IF(E40="","",F40*G40)</f>
        <v/>
      </c>
      <c r="I40" s="44"/>
      <c r="K40" s="43"/>
      <c r="L40" s="48" t="str">
        <f t="shared" si="1"/>
        <v/>
      </c>
      <c r="M40" s="43"/>
      <c r="N40" s="43"/>
    </row>
    <row r="41" spans="1:14" ht="39.6" x14ac:dyDescent="0.25">
      <c r="A41" s="5"/>
      <c r="B41" s="53" t="s">
        <v>1257</v>
      </c>
      <c r="C41" s="15" t="s">
        <v>1239</v>
      </c>
      <c r="D41" s="15"/>
      <c r="E41" s="23" t="s">
        <v>6</v>
      </c>
      <c r="F41" s="23">
        <v>50</v>
      </c>
      <c r="G41" s="41">
        <v>210</v>
      </c>
      <c r="H41" s="18">
        <f>IF(E41="","",F41*G41)</f>
        <v>10500</v>
      </c>
      <c r="I41" s="44"/>
      <c r="K41" s="43">
        <f>_Subsoil</f>
        <v>8</v>
      </c>
      <c r="L41" s="48">
        <f t="shared" si="1"/>
        <v>400</v>
      </c>
      <c r="M41" s="43"/>
      <c r="N41" s="43"/>
    </row>
    <row r="42" spans="1:14" x14ac:dyDescent="0.25">
      <c r="A42" s="5"/>
      <c r="B42" s="53"/>
      <c r="C42" s="15"/>
      <c r="D42" s="15"/>
      <c r="E42" s="23"/>
      <c r="F42" s="23"/>
      <c r="G42" s="41"/>
      <c r="H42" s="18"/>
      <c r="I42" s="44"/>
      <c r="K42" s="43"/>
      <c r="L42" s="48" t="str">
        <f t="shared" si="1"/>
        <v/>
      </c>
      <c r="M42" s="43"/>
      <c r="N42" s="43"/>
    </row>
    <row r="43" spans="1:14" x14ac:dyDescent="0.25">
      <c r="A43" s="5"/>
      <c r="B43" s="53"/>
      <c r="C43" s="15"/>
      <c r="D43" s="15"/>
      <c r="E43" s="23"/>
      <c r="F43" s="23"/>
      <c r="G43" s="41"/>
      <c r="H43" s="18" t="str">
        <f>IF(E43="","",F43*G43)</f>
        <v/>
      </c>
      <c r="I43" s="44"/>
      <c r="K43" s="43"/>
      <c r="L43" s="48" t="str">
        <f>IF(K43="","",K43*F43)</f>
        <v/>
      </c>
      <c r="M43" s="43"/>
      <c r="N43" s="43"/>
    </row>
    <row r="44" spans="1:14" s="31" customFormat="1" ht="19.5" customHeight="1" x14ac:dyDescent="0.25">
      <c r="B44" s="151" t="str">
        <f>$B$12</f>
        <v>1/C13.8</v>
      </c>
      <c r="C44" s="33" t="s">
        <v>957</v>
      </c>
      <c r="D44" s="33"/>
      <c r="E44" s="34"/>
      <c r="F44" s="35"/>
      <c r="G44" s="34"/>
      <c r="H44" s="36">
        <f>SUM(H11:H43)</f>
        <v>90448</v>
      </c>
      <c r="I44" s="37"/>
      <c r="L44" s="36">
        <f>SUM(L11:L43)</f>
        <v>4230.7000000000007</v>
      </c>
    </row>
  </sheetData>
  <mergeCells count="4">
    <mergeCell ref="F2:H2"/>
    <mergeCell ref="B6:G8"/>
    <mergeCell ref="H5:H8"/>
    <mergeCell ref="B5:G5"/>
  </mergeCells>
  <printOptions horizontalCentered="1"/>
  <pageMargins left="0.43307086614173229" right="0.31496062992125984" top="0.43307086614173229" bottom="0.62992125984251968" header="0.35433070866141736" footer="0.31496062992125984"/>
  <pageSetup paperSize="9" scale="79"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56ACB-F2CB-494F-9343-B09ED9356B89}">
  <sheetPr>
    <tabColor rgb="FF92D050"/>
  </sheetPr>
  <dimension ref="B1:N61"/>
  <sheetViews>
    <sheetView view="pageBreakPreview" topLeftCell="A47" zoomScaleNormal="125" zoomScaleSheetLayoutView="100" zoomScalePageLayoutView="125" workbookViewId="0">
      <selection activeCell="L25" sqref="L25"/>
    </sheetView>
  </sheetViews>
  <sheetFormatPr defaultColWidth="6.6640625" defaultRowHeight="13.2" x14ac:dyDescent="0.25"/>
  <cols>
    <col min="1" max="1" width="0.6640625" style="1" customWidth="1"/>
    <col min="2" max="2" width="11.5546875" style="38" customWidth="1"/>
    <col min="3" max="3" width="45.5546875" style="3" customWidth="1"/>
    <col min="4" max="4" width="3.554687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1" width="6.6640625" style="1"/>
    <col min="12" max="12" width="12.6640625" style="1" customWidth="1"/>
    <col min="13" max="16384" width="6.6640625" style="1"/>
  </cols>
  <sheetData>
    <row r="1" spans="2:14" x14ac:dyDescent="0.25">
      <c r="H1" s="234">
        <f>MAX(H9:H495)</f>
        <v>353799</v>
      </c>
    </row>
    <row r="2" spans="2:14" x14ac:dyDescent="0.25">
      <c r="B2" s="2" t="str">
        <f>Client1</f>
        <v>Province of KwaZulu-Natal</v>
      </c>
      <c r="F2" s="510" t="str">
        <f>"Contract No. "&amp;ContractNo</f>
        <v>Contract No. ZNB02215/00000/00/HOD/INF/23/T</v>
      </c>
      <c r="G2" s="510"/>
      <c r="H2" s="510"/>
      <c r="K2" s="402"/>
      <c r="L2" s="402">
        <f>MAX(L3:L240)</f>
        <v>113692.2</v>
      </c>
      <c r="M2" s="402"/>
      <c r="N2" s="403"/>
    </row>
    <row r="3" spans="2:14" x14ac:dyDescent="0.25">
      <c r="B3" s="96" t="str">
        <f>Client2</f>
        <v>Department of Transport</v>
      </c>
      <c r="K3" s="1" t="s">
        <v>1421</v>
      </c>
      <c r="L3" s="1" t="s">
        <v>1422</v>
      </c>
      <c r="M3" s="1" t="s">
        <v>1423</v>
      </c>
      <c r="N3" s="1" t="s">
        <v>1424</v>
      </c>
    </row>
    <row r="4" spans="2:14" x14ac:dyDescent="0.25">
      <c r="B4" s="84"/>
      <c r="C4" s="84"/>
      <c r="D4" s="84"/>
      <c r="E4" s="85"/>
      <c r="F4" s="85"/>
      <c r="G4" s="86"/>
      <c r="H4" s="98"/>
      <c r="K4" s="86"/>
      <c r="L4" s="86"/>
      <c r="M4" s="86"/>
      <c r="N4" s="86"/>
    </row>
    <row r="5" spans="2:14" x14ac:dyDescent="0.25">
      <c r="B5" s="507" t="s">
        <v>8</v>
      </c>
      <c r="C5" s="508"/>
      <c r="D5" s="508"/>
      <c r="E5" s="508"/>
      <c r="F5" s="508"/>
      <c r="G5" s="508"/>
      <c r="H5" s="519" t="str">
        <f>"CHAPTER "&amp;B12</f>
        <v>CHAPTER 2/C13.1</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20"/>
      <c r="I6" s="9"/>
    </row>
    <row r="7" spans="2:14" ht="12.75" customHeight="1" x14ac:dyDescent="0.25">
      <c r="B7" s="500"/>
      <c r="C7" s="501"/>
      <c r="D7" s="501"/>
      <c r="E7" s="501"/>
      <c r="F7" s="501"/>
      <c r="G7" s="501"/>
      <c r="H7" s="520"/>
      <c r="I7" s="9"/>
    </row>
    <row r="8" spans="2:14" ht="7.5" customHeight="1" x14ac:dyDescent="0.25">
      <c r="B8" s="502"/>
      <c r="C8" s="503"/>
      <c r="D8" s="503"/>
      <c r="E8" s="503"/>
      <c r="F8" s="503"/>
      <c r="G8" s="503"/>
      <c r="H8" s="521"/>
      <c r="I8" s="9"/>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53"/>
      <c r="C10" s="225" t="s">
        <v>1264</v>
      </c>
      <c r="D10" s="492"/>
      <c r="E10" s="16"/>
      <c r="F10" s="16"/>
      <c r="G10" s="17"/>
      <c r="H10" s="18" t="str">
        <f t="shared" ref="H10:H60" si="0">IF(E10="","",F10*G10)</f>
        <v/>
      </c>
      <c r="I10" s="19"/>
      <c r="K10" s="17"/>
      <c r="L10" s="17"/>
      <c r="M10" s="17"/>
      <c r="N10" s="17"/>
    </row>
    <row r="11" spans="2:14" x14ac:dyDescent="0.25">
      <c r="B11" s="80"/>
      <c r="C11" s="21"/>
      <c r="D11" s="21"/>
      <c r="E11" s="23"/>
      <c r="F11" s="23"/>
      <c r="G11" s="43"/>
      <c r="H11" s="18"/>
      <c r="I11" s="44"/>
      <c r="K11" s="43"/>
      <c r="L11" s="43"/>
      <c r="M11" s="43"/>
      <c r="N11" s="43"/>
    </row>
    <row r="12" spans="2:14" x14ac:dyDescent="0.25">
      <c r="B12" s="80" t="s">
        <v>1265</v>
      </c>
      <c r="C12" s="21" t="s">
        <v>400</v>
      </c>
      <c r="D12" s="21"/>
      <c r="E12" s="23"/>
      <c r="F12" s="23"/>
      <c r="G12" s="43"/>
      <c r="H12" s="18" t="str">
        <f t="shared" si="0"/>
        <v/>
      </c>
      <c r="I12" s="44"/>
      <c r="K12" s="43"/>
      <c r="L12" s="43"/>
      <c r="M12" s="43"/>
      <c r="N12" s="43"/>
    </row>
    <row r="13" spans="2:14" x14ac:dyDescent="0.25">
      <c r="B13" s="53"/>
      <c r="C13" s="15"/>
      <c r="D13" s="15"/>
      <c r="E13" s="23"/>
      <c r="F13" s="23"/>
      <c r="G13" s="43"/>
      <c r="H13" s="18" t="str">
        <f t="shared" si="0"/>
        <v/>
      </c>
      <c r="I13" s="44"/>
      <c r="K13" s="25"/>
      <c r="L13" s="48" t="str">
        <f t="shared" ref="L13:L60" si="1">IF(K13="","",K13*F13)</f>
        <v/>
      </c>
      <c r="M13" s="25"/>
      <c r="N13" s="25"/>
    </row>
    <row r="14" spans="2:14" x14ac:dyDescent="0.25">
      <c r="B14" s="53"/>
      <c r="C14" s="15"/>
      <c r="D14" s="15"/>
      <c r="E14" s="23"/>
      <c r="F14" s="24"/>
      <c r="G14" s="46"/>
      <c r="H14" s="18" t="str">
        <f t="shared" si="0"/>
        <v/>
      </c>
      <c r="I14" s="44"/>
      <c r="K14" s="43"/>
      <c r="L14" s="48" t="str">
        <f t="shared" si="1"/>
        <v/>
      </c>
      <c r="M14" s="43"/>
      <c r="N14" s="43"/>
    </row>
    <row r="15" spans="2:14" x14ac:dyDescent="0.25">
      <c r="B15" s="53" t="s">
        <v>1266</v>
      </c>
      <c r="C15" s="15" t="s">
        <v>401</v>
      </c>
      <c r="D15" s="15"/>
      <c r="E15" s="23"/>
      <c r="F15" s="24"/>
      <c r="G15" s="48"/>
      <c r="H15" s="18" t="str">
        <f t="shared" si="0"/>
        <v/>
      </c>
      <c r="K15" s="43"/>
      <c r="L15" s="48" t="str">
        <f t="shared" si="1"/>
        <v/>
      </c>
      <c r="M15" s="43"/>
      <c r="N15" s="43"/>
    </row>
    <row r="16" spans="2:14" x14ac:dyDescent="0.25">
      <c r="B16" s="53"/>
      <c r="C16" s="1"/>
      <c r="D16" s="48"/>
      <c r="E16" s="23"/>
      <c r="F16" s="24"/>
      <c r="G16" s="48"/>
      <c r="H16" s="18" t="str">
        <f t="shared" si="0"/>
        <v/>
      </c>
      <c r="K16" s="43"/>
      <c r="L16" s="48" t="str">
        <f t="shared" si="1"/>
        <v/>
      </c>
      <c r="M16" s="43"/>
      <c r="N16" s="43"/>
    </row>
    <row r="17" spans="2:14" ht="26.4" x14ac:dyDescent="0.25">
      <c r="B17" s="53" t="s">
        <v>1267</v>
      </c>
      <c r="C17" s="15" t="s">
        <v>402</v>
      </c>
      <c r="D17" s="15"/>
      <c r="E17" s="23"/>
      <c r="F17" s="24"/>
      <c r="G17" s="41"/>
      <c r="H17" s="18" t="str">
        <f t="shared" si="0"/>
        <v/>
      </c>
      <c r="K17" s="43"/>
      <c r="L17" s="48" t="str">
        <f t="shared" si="1"/>
        <v/>
      </c>
      <c r="M17" s="43"/>
      <c r="N17" s="43"/>
    </row>
    <row r="18" spans="2:14" x14ac:dyDescent="0.25">
      <c r="B18" s="53"/>
      <c r="C18" s="15"/>
      <c r="D18" s="15"/>
      <c r="E18" s="23"/>
      <c r="F18" s="24"/>
      <c r="G18" s="48"/>
      <c r="H18" s="18" t="str">
        <f t="shared" si="0"/>
        <v/>
      </c>
      <c r="K18" s="43"/>
      <c r="L18" s="48" t="str">
        <f t="shared" si="1"/>
        <v/>
      </c>
      <c r="M18" s="43"/>
      <c r="N18" s="43"/>
    </row>
    <row r="19" spans="2:14" ht="15.6" x14ac:dyDescent="0.25">
      <c r="B19" s="53" t="s">
        <v>49</v>
      </c>
      <c r="C19" s="15" t="s">
        <v>403</v>
      </c>
      <c r="D19" s="23" t="s">
        <v>1602</v>
      </c>
      <c r="E19" s="23" t="s">
        <v>34</v>
      </c>
      <c r="F19" s="24">
        <v>20</v>
      </c>
      <c r="G19" s="211">
        <v>100</v>
      </c>
      <c r="H19" s="18">
        <f t="shared" si="0"/>
        <v>2000</v>
      </c>
      <c r="K19" s="43">
        <f>G19*5%</f>
        <v>5</v>
      </c>
      <c r="L19" s="48">
        <f t="shared" si="1"/>
        <v>100</v>
      </c>
      <c r="M19" s="43"/>
      <c r="N19" s="43"/>
    </row>
    <row r="20" spans="2:14" x14ac:dyDescent="0.25">
      <c r="B20" s="53"/>
      <c r="C20" s="15"/>
      <c r="D20" s="15"/>
      <c r="E20" s="23"/>
      <c r="F20" s="24"/>
      <c r="G20" s="48" t="s">
        <v>1556</v>
      </c>
      <c r="H20" s="18" t="str">
        <f t="shared" si="0"/>
        <v/>
      </c>
      <c r="K20" s="43"/>
      <c r="L20" s="48" t="str">
        <f t="shared" si="1"/>
        <v/>
      </c>
      <c r="M20" s="43"/>
      <c r="N20" s="43"/>
    </row>
    <row r="21" spans="2:14" ht="15.6" x14ac:dyDescent="0.25">
      <c r="B21" s="53" t="s">
        <v>51</v>
      </c>
      <c r="C21" s="15" t="s">
        <v>404</v>
      </c>
      <c r="D21" s="15"/>
      <c r="E21" s="23" t="s">
        <v>34</v>
      </c>
      <c r="F21" s="24">
        <v>65</v>
      </c>
      <c r="G21" s="211">
        <v>100</v>
      </c>
      <c r="H21" s="18">
        <f t="shared" si="0"/>
        <v>6500</v>
      </c>
      <c r="I21" s="45"/>
      <c r="K21" s="43">
        <f>G21*5%</f>
        <v>5</v>
      </c>
      <c r="L21" s="48">
        <f t="shared" si="1"/>
        <v>325</v>
      </c>
      <c r="M21" s="43"/>
      <c r="N21" s="43"/>
    </row>
    <row r="22" spans="2:14" x14ac:dyDescent="0.25">
      <c r="B22" s="53"/>
      <c r="C22" s="15"/>
      <c r="D22" s="15"/>
      <c r="E22" s="23"/>
      <c r="F22" s="27"/>
      <c r="G22" s="211" t="s">
        <v>1556</v>
      </c>
      <c r="H22" s="18" t="str">
        <f t="shared" si="0"/>
        <v/>
      </c>
      <c r="I22" s="19"/>
      <c r="K22" s="43"/>
      <c r="L22" s="48" t="str">
        <f t="shared" si="1"/>
        <v/>
      </c>
      <c r="M22" s="43"/>
      <c r="N22" s="43"/>
    </row>
    <row r="23" spans="2:14" s="39" customFormat="1" ht="15.6" x14ac:dyDescent="0.25">
      <c r="B23" s="53" t="s">
        <v>65</v>
      </c>
      <c r="C23" s="15" t="s">
        <v>405</v>
      </c>
      <c r="D23" s="15"/>
      <c r="E23" s="23" t="s">
        <v>34</v>
      </c>
      <c r="F23" s="27">
        <v>8</v>
      </c>
      <c r="G23" s="211">
        <v>100</v>
      </c>
      <c r="H23" s="18">
        <f t="shared" si="0"/>
        <v>800</v>
      </c>
      <c r="I23" s="19"/>
      <c r="J23" s="1"/>
      <c r="K23" s="43">
        <f>G23*5%</f>
        <v>5</v>
      </c>
      <c r="L23" s="48">
        <f t="shared" si="1"/>
        <v>40</v>
      </c>
      <c r="M23" s="43"/>
      <c r="N23" s="43"/>
    </row>
    <row r="24" spans="2:14" x14ac:dyDescent="0.25">
      <c r="B24" s="53"/>
      <c r="C24" s="15"/>
      <c r="D24" s="15"/>
      <c r="E24" s="23"/>
      <c r="F24" s="24"/>
      <c r="G24" s="211" t="s">
        <v>1556</v>
      </c>
      <c r="H24" s="18" t="str">
        <f t="shared" si="0"/>
        <v/>
      </c>
      <c r="I24" s="45"/>
      <c r="K24" s="43"/>
      <c r="L24" s="48" t="str">
        <f t="shared" si="1"/>
        <v/>
      </c>
      <c r="M24" s="43"/>
      <c r="N24" s="43"/>
    </row>
    <row r="25" spans="2:14" ht="26.4" x14ac:dyDescent="0.25">
      <c r="B25" s="53" t="s">
        <v>1268</v>
      </c>
      <c r="C25" s="15" t="s">
        <v>406</v>
      </c>
      <c r="D25" s="15"/>
      <c r="E25" s="23" t="s">
        <v>34</v>
      </c>
      <c r="F25" s="24">
        <v>30</v>
      </c>
      <c r="G25" s="211">
        <v>578</v>
      </c>
      <c r="H25" s="18">
        <f t="shared" si="0"/>
        <v>17340</v>
      </c>
      <c r="I25" s="45"/>
      <c r="K25" s="43">
        <f>G25*3%</f>
        <v>17.34</v>
      </c>
      <c r="L25" s="48">
        <f t="shared" si="1"/>
        <v>520.20000000000005</v>
      </c>
      <c r="M25" s="43"/>
      <c r="N25" s="43"/>
    </row>
    <row r="26" spans="2:14" x14ac:dyDescent="0.25">
      <c r="B26" s="53"/>
      <c r="C26" s="15"/>
      <c r="D26" s="15"/>
      <c r="E26" s="23"/>
      <c r="F26" s="24"/>
      <c r="G26" s="211" t="s">
        <v>1556</v>
      </c>
      <c r="H26" s="18" t="str">
        <f t="shared" si="0"/>
        <v/>
      </c>
      <c r="I26" s="44"/>
      <c r="K26" s="43"/>
      <c r="L26" s="48" t="str">
        <f t="shared" si="1"/>
        <v/>
      </c>
      <c r="M26" s="43"/>
      <c r="N26" s="43"/>
    </row>
    <row r="27" spans="2:14" ht="26.4" x14ac:dyDescent="0.25">
      <c r="B27" s="53" t="s">
        <v>1269</v>
      </c>
      <c r="C27" s="15" t="s">
        <v>407</v>
      </c>
      <c r="D27" s="15"/>
      <c r="E27" s="23" t="s">
        <v>34</v>
      </c>
      <c r="F27" s="24">
        <v>5</v>
      </c>
      <c r="G27" s="211">
        <v>100</v>
      </c>
      <c r="H27" s="18">
        <f t="shared" si="0"/>
        <v>500</v>
      </c>
      <c r="I27" s="44"/>
      <c r="K27" s="43"/>
      <c r="L27" s="48" t="str">
        <f t="shared" si="1"/>
        <v/>
      </c>
      <c r="M27" s="43"/>
      <c r="N27" s="43"/>
    </row>
    <row r="28" spans="2:14" x14ac:dyDescent="0.25">
      <c r="B28" s="53"/>
      <c r="C28" s="15"/>
      <c r="D28" s="15"/>
      <c r="E28" s="23"/>
      <c r="F28" s="24"/>
      <c r="G28" s="211" t="s">
        <v>1556</v>
      </c>
      <c r="H28" s="18"/>
      <c r="I28" s="44"/>
      <c r="K28" s="43"/>
      <c r="L28" s="48" t="str">
        <f t="shared" si="1"/>
        <v/>
      </c>
      <c r="M28" s="43"/>
      <c r="N28" s="43"/>
    </row>
    <row r="29" spans="2:14" x14ac:dyDescent="0.25">
      <c r="B29" s="53" t="s">
        <v>1270</v>
      </c>
      <c r="C29" s="15" t="s">
        <v>408</v>
      </c>
      <c r="D29" s="15"/>
      <c r="E29" s="23"/>
      <c r="F29" s="23"/>
      <c r="G29" s="211" t="s">
        <v>1556</v>
      </c>
      <c r="H29" s="18" t="str">
        <f t="shared" si="0"/>
        <v/>
      </c>
      <c r="I29" s="44"/>
      <c r="K29" s="43"/>
      <c r="L29" s="48" t="str">
        <f t="shared" si="1"/>
        <v/>
      </c>
      <c r="M29" s="43"/>
      <c r="N29" s="43"/>
    </row>
    <row r="30" spans="2:14" x14ac:dyDescent="0.25">
      <c r="B30" s="53"/>
      <c r="C30" s="15"/>
      <c r="D30" s="15"/>
      <c r="E30" s="23"/>
      <c r="F30" s="23"/>
      <c r="G30" s="211" t="s">
        <v>1556</v>
      </c>
      <c r="H30" s="18" t="str">
        <f t="shared" si="0"/>
        <v/>
      </c>
      <c r="I30" s="44"/>
      <c r="K30" s="43"/>
      <c r="L30" s="48" t="str">
        <f t="shared" si="1"/>
        <v/>
      </c>
      <c r="M30" s="43"/>
      <c r="N30" s="43"/>
    </row>
    <row r="31" spans="2:14" ht="26.4" x14ac:dyDescent="0.25">
      <c r="B31" s="53" t="s">
        <v>1271</v>
      </c>
      <c r="C31" s="15" t="s">
        <v>409</v>
      </c>
      <c r="D31" s="15"/>
      <c r="E31" s="23"/>
      <c r="F31" s="23"/>
      <c r="G31" s="211" t="s">
        <v>1556</v>
      </c>
      <c r="H31" s="18" t="str">
        <f t="shared" si="0"/>
        <v/>
      </c>
      <c r="I31" s="44"/>
      <c r="K31" s="43"/>
      <c r="L31" s="48" t="str">
        <f t="shared" si="1"/>
        <v/>
      </c>
      <c r="M31" s="43"/>
      <c r="N31" s="43"/>
    </row>
    <row r="32" spans="2:14" x14ac:dyDescent="0.25">
      <c r="B32" s="53"/>
      <c r="C32" s="15"/>
      <c r="D32" s="15"/>
      <c r="E32" s="23"/>
      <c r="F32" s="23"/>
      <c r="G32" s="211" t="s">
        <v>1556</v>
      </c>
      <c r="H32" s="18" t="str">
        <f t="shared" si="0"/>
        <v/>
      </c>
      <c r="I32" s="44"/>
      <c r="K32" s="43"/>
      <c r="L32" s="48" t="str">
        <f t="shared" si="1"/>
        <v/>
      </c>
      <c r="M32" s="43"/>
      <c r="N32" s="43"/>
    </row>
    <row r="33" spans="2:14" ht="15.6" x14ac:dyDescent="0.25">
      <c r="B33" s="53" t="s">
        <v>49</v>
      </c>
      <c r="C33" s="15" t="s">
        <v>403</v>
      </c>
      <c r="D33" s="23" t="s">
        <v>1602</v>
      </c>
      <c r="E33" s="23" t="s">
        <v>34</v>
      </c>
      <c r="F33" s="23">
        <v>645</v>
      </c>
      <c r="G33" s="211">
        <v>315</v>
      </c>
      <c r="H33" s="18">
        <f t="shared" si="0"/>
        <v>203175</v>
      </c>
      <c r="I33" s="44"/>
      <c r="K33" s="43">
        <f>_Excavation</f>
        <v>134</v>
      </c>
      <c r="L33" s="48">
        <f t="shared" si="1"/>
        <v>86430</v>
      </c>
      <c r="M33" s="43"/>
      <c r="N33" s="43"/>
    </row>
    <row r="34" spans="2:14" x14ac:dyDescent="0.25">
      <c r="B34" s="53"/>
      <c r="C34" s="15"/>
      <c r="D34" s="15"/>
      <c r="E34" s="23"/>
      <c r="F34" s="23"/>
      <c r="G34" s="211" t="s">
        <v>1556</v>
      </c>
      <c r="H34" s="18" t="str">
        <f t="shared" si="0"/>
        <v/>
      </c>
      <c r="I34" s="44"/>
      <c r="K34" s="43"/>
      <c r="L34" s="48" t="str">
        <f t="shared" si="1"/>
        <v/>
      </c>
      <c r="M34" s="43"/>
      <c r="N34" s="43"/>
    </row>
    <row r="35" spans="2:14" ht="26.4" x14ac:dyDescent="0.25">
      <c r="B35" s="53" t="s">
        <v>1272</v>
      </c>
      <c r="C35" s="15" t="s">
        <v>410</v>
      </c>
      <c r="D35" s="23" t="s">
        <v>1602</v>
      </c>
      <c r="E35" s="23" t="s">
        <v>34</v>
      </c>
      <c r="F35" s="23">
        <v>65</v>
      </c>
      <c r="G35" s="211">
        <v>105</v>
      </c>
      <c r="H35" s="18">
        <f t="shared" si="0"/>
        <v>6825</v>
      </c>
      <c r="I35" s="44"/>
      <c r="K35" s="43"/>
      <c r="L35" s="48" t="str">
        <f t="shared" si="1"/>
        <v/>
      </c>
      <c r="M35" s="43"/>
      <c r="N35" s="43"/>
    </row>
    <row r="36" spans="2:14" x14ac:dyDescent="0.25">
      <c r="B36" s="53"/>
      <c r="C36" s="15"/>
      <c r="D36" s="15"/>
      <c r="E36" s="23"/>
      <c r="F36" s="23"/>
      <c r="G36" s="211" t="s">
        <v>1556</v>
      </c>
      <c r="H36" s="18" t="str">
        <f t="shared" si="0"/>
        <v/>
      </c>
      <c r="I36" s="44"/>
      <c r="K36" s="43"/>
      <c r="L36" s="48" t="str">
        <f t="shared" si="1"/>
        <v/>
      </c>
      <c r="M36" s="43"/>
      <c r="N36" s="43"/>
    </row>
    <row r="37" spans="2:14" ht="26.4" x14ac:dyDescent="0.25">
      <c r="B37" s="53" t="s">
        <v>1273</v>
      </c>
      <c r="C37" s="15" t="s">
        <v>411</v>
      </c>
      <c r="D37" s="15"/>
      <c r="E37" s="23" t="s">
        <v>34</v>
      </c>
      <c r="F37" s="23">
        <v>40</v>
      </c>
      <c r="G37" s="211">
        <v>315</v>
      </c>
      <c r="H37" s="18">
        <f t="shared" si="0"/>
        <v>12600</v>
      </c>
      <c r="I37" s="44"/>
      <c r="K37" s="43"/>
      <c r="L37" s="48" t="str">
        <f t="shared" si="1"/>
        <v/>
      </c>
      <c r="M37" s="43"/>
      <c r="N37" s="43"/>
    </row>
    <row r="38" spans="2:14" ht="12" customHeight="1" x14ac:dyDescent="0.25">
      <c r="B38" s="53"/>
      <c r="C38" s="15"/>
      <c r="D38" s="15"/>
      <c r="E38" s="23"/>
      <c r="F38" s="23"/>
      <c r="G38" s="211" t="s">
        <v>1556</v>
      </c>
      <c r="H38" s="18" t="str">
        <f t="shared" si="0"/>
        <v/>
      </c>
      <c r="I38" s="44"/>
      <c r="K38" s="43"/>
      <c r="L38" s="48" t="str">
        <f t="shared" si="1"/>
        <v/>
      </c>
      <c r="M38" s="43"/>
      <c r="N38" s="43"/>
    </row>
    <row r="39" spans="2:14" x14ac:dyDescent="0.25">
      <c r="B39" s="53" t="s">
        <v>1274</v>
      </c>
      <c r="C39" s="15" t="s">
        <v>413</v>
      </c>
      <c r="D39" s="15"/>
      <c r="E39" s="23"/>
      <c r="F39" s="23"/>
      <c r="G39" s="41" t="s">
        <v>1556</v>
      </c>
      <c r="H39" s="18" t="str">
        <f t="shared" si="0"/>
        <v/>
      </c>
      <c r="I39" s="44"/>
      <c r="K39" s="43"/>
      <c r="L39" s="48" t="str">
        <f t="shared" si="1"/>
        <v/>
      </c>
      <c r="M39" s="43"/>
      <c r="N39" s="43"/>
    </row>
    <row r="40" spans="2:14" ht="12" customHeight="1" x14ac:dyDescent="0.25">
      <c r="B40" s="53"/>
      <c r="C40" s="15"/>
      <c r="D40" s="15"/>
      <c r="E40" s="23"/>
      <c r="F40" s="23"/>
      <c r="G40" s="41" t="s">
        <v>1556</v>
      </c>
      <c r="H40" s="18" t="str">
        <f t="shared" si="0"/>
        <v/>
      </c>
      <c r="I40" s="44"/>
      <c r="K40" s="43"/>
      <c r="L40" s="48" t="str">
        <f t="shared" si="1"/>
        <v/>
      </c>
      <c r="M40" s="43"/>
      <c r="N40" s="43"/>
    </row>
    <row r="41" spans="2:14" ht="15.6" x14ac:dyDescent="0.25">
      <c r="B41" s="53" t="s">
        <v>1275</v>
      </c>
      <c r="C41" s="15" t="s">
        <v>412</v>
      </c>
      <c r="D41" s="23" t="s">
        <v>1602</v>
      </c>
      <c r="E41" s="23" t="s">
        <v>34</v>
      </c>
      <c r="F41" s="23">
        <v>258</v>
      </c>
      <c r="G41" s="41">
        <v>100</v>
      </c>
      <c r="H41" s="18">
        <f t="shared" si="0"/>
        <v>25800</v>
      </c>
      <c r="I41" s="44"/>
      <c r="K41" s="43">
        <f>_Backfill</f>
        <v>45</v>
      </c>
      <c r="L41" s="48">
        <f t="shared" si="1"/>
        <v>11610</v>
      </c>
      <c r="M41" s="43"/>
      <c r="N41" s="43"/>
    </row>
    <row r="42" spans="2:14" ht="12" customHeight="1" x14ac:dyDescent="0.25">
      <c r="B42" s="53"/>
      <c r="C42" s="15"/>
      <c r="D42" s="15"/>
      <c r="E42" s="23"/>
      <c r="F42" s="23"/>
      <c r="G42" s="41" t="s">
        <v>1556</v>
      </c>
      <c r="H42" s="18" t="str">
        <f t="shared" si="0"/>
        <v/>
      </c>
      <c r="K42" s="43"/>
      <c r="L42" s="48" t="str">
        <f t="shared" si="1"/>
        <v/>
      </c>
      <c r="M42" s="43"/>
      <c r="N42" s="43"/>
    </row>
    <row r="43" spans="2:14" ht="15.6" x14ac:dyDescent="0.25">
      <c r="B43" s="53" t="s">
        <v>1276</v>
      </c>
      <c r="C43" s="15" t="s">
        <v>1174</v>
      </c>
      <c r="D43" s="23" t="s">
        <v>1602</v>
      </c>
      <c r="E43" s="23" t="s">
        <v>34</v>
      </c>
      <c r="F43" s="23">
        <v>169</v>
      </c>
      <c r="G43" s="41">
        <v>121</v>
      </c>
      <c r="H43" s="18">
        <f t="shared" si="0"/>
        <v>20449</v>
      </c>
      <c r="I43" s="44"/>
      <c r="K43" s="43">
        <f>_Backfill</f>
        <v>45</v>
      </c>
      <c r="L43" s="48">
        <f t="shared" si="1"/>
        <v>7605</v>
      </c>
      <c r="M43" s="43"/>
      <c r="N43" s="43"/>
    </row>
    <row r="44" spans="2:14" ht="12" customHeight="1" x14ac:dyDescent="0.25">
      <c r="B44" s="53"/>
      <c r="C44" s="15"/>
      <c r="D44" s="15"/>
      <c r="E44" s="23"/>
      <c r="F44" s="23"/>
      <c r="G44" s="41" t="s">
        <v>1556</v>
      </c>
      <c r="H44" s="18" t="str">
        <f t="shared" si="0"/>
        <v/>
      </c>
      <c r="I44" s="52"/>
      <c r="K44" s="43"/>
      <c r="L44" s="48" t="str">
        <f t="shared" si="1"/>
        <v/>
      </c>
      <c r="M44" s="43"/>
      <c r="N44" s="43"/>
    </row>
    <row r="45" spans="2:14" ht="15.6" x14ac:dyDescent="0.25">
      <c r="B45" s="53" t="s">
        <v>1326</v>
      </c>
      <c r="C45" s="15" t="s">
        <v>414</v>
      </c>
      <c r="D45" s="15"/>
      <c r="E45" s="23" t="s">
        <v>34</v>
      </c>
      <c r="F45" s="23">
        <v>20</v>
      </c>
      <c r="G45" s="41">
        <v>21</v>
      </c>
      <c r="H45" s="18">
        <f t="shared" si="0"/>
        <v>420</v>
      </c>
      <c r="K45" s="43"/>
      <c r="L45" s="48" t="str">
        <f t="shared" si="1"/>
        <v/>
      </c>
      <c r="M45" s="43"/>
      <c r="N45" s="43"/>
    </row>
    <row r="46" spans="2:14" ht="12" customHeight="1" x14ac:dyDescent="0.25">
      <c r="B46" s="53"/>
      <c r="C46" s="15"/>
      <c r="D46" s="15"/>
      <c r="E46" s="23"/>
      <c r="F46" s="23"/>
      <c r="G46" s="41" t="s">
        <v>1556</v>
      </c>
      <c r="H46" s="18" t="str">
        <f t="shared" si="0"/>
        <v/>
      </c>
      <c r="I46" s="44"/>
      <c r="K46" s="43"/>
      <c r="L46" s="48" t="str">
        <f t="shared" si="1"/>
        <v/>
      </c>
      <c r="M46" s="43"/>
      <c r="N46" s="43"/>
    </row>
    <row r="47" spans="2:14" ht="39.6" x14ac:dyDescent="0.25">
      <c r="B47" s="53" t="s">
        <v>1277</v>
      </c>
      <c r="C47" s="15" t="s">
        <v>415</v>
      </c>
      <c r="D47" s="15"/>
      <c r="E47" s="23" t="s">
        <v>599</v>
      </c>
      <c r="F47" s="23">
        <v>700</v>
      </c>
      <c r="G47" s="41">
        <v>9</v>
      </c>
      <c r="H47" s="18">
        <f t="shared" si="0"/>
        <v>6300</v>
      </c>
      <c r="I47" s="44"/>
      <c r="L47" s="48" t="str">
        <f t="shared" si="1"/>
        <v/>
      </c>
    </row>
    <row r="48" spans="2:14" ht="12" customHeight="1" x14ac:dyDescent="0.25">
      <c r="B48" s="53"/>
      <c r="C48" s="15"/>
      <c r="D48" s="15"/>
      <c r="E48" s="23"/>
      <c r="F48" s="23"/>
      <c r="G48" s="41" t="s">
        <v>1556</v>
      </c>
      <c r="H48" s="18" t="str">
        <f t="shared" si="0"/>
        <v/>
      </c>
      <c r="I48" s="44"/>
      <c r="L48" s="48" t="str">
        <f t="shared" si="1"/>
        <v/>
      </c>
    </row>
    <row r="49" spans="2:12" ht="15.6" x14ac:dyDescent="0.25">
      <c r="B49" s="53" t="s">
        <v>1278</v>
      </c>
      <c r="C49" s="15" t="s">
        <v>416</v>
      </c>
      <c r="D49" s="15"/>
      <c r="E49" s="23" t="s">
        <v>80</v>
      </c>
      <c r="F49" s="23">
        <v>15</v>
      </c>
      <c r="G49" s="41">
        <v>158</v>
      </c>
      <c r="H49" s="18">
        <f t="shared" si="0"/>
        <v>2370</v>
      </c>
      <c r="I49" s="44"/>
      <c r="L49" s="48" t="str">
        <f t="shared" si="1"/>
        <v/>
      </c>
    </row>
    <row r="50" spans="2:12" x14ac:dyDescent="0.25">
      <c r="B50" s="53"/>
      <c r="C50" s="15"/>
      <c r="D50" s="15"/>
      <c r="E50" s="23"/>
      <c r="F50" s="23"/>
      <c r="G50" s="41" t="s">
        <v>1556</v>
      </c>
      <c r="H50" s="18"/>
      <c r="I50" s="44"/>
      <c r="L50" s="48" t="str">
        <f t="shared" si="1"/>
        <v/>
      </c>
    </row>
    <row r="51" spans="2:12" x14ac:dyDescent="0.25">
      <c r="B51" s="53" t="s">
        <v>1279</v>
      </c>
      <c r="C51" s="15" t="s">
        <v>417</v>
      </c>
      <c r="D51" s="15"/>
      <c r="E51" s="23"/>
      <c r="F51" s="23"/>
      <c r="G51" s="41" t="s">
        <v>1556</v>
      </c>
      <c r="H51" s="18" t="str">
        <f>IF(E51="","",F51*G51)</f>
        <v/>
      </c>
      <c r="I51" s="44"/>
      <c r="L51" s="48" t="str">
        <f t="shared" si="1"/>
        <v/>
      </c>
    </row>
    <row r="52" spans="2:12" x14ac:dyDescent="0.25">
      <c r="B52" s="53"/>
      <c r="C52" s="15"/>
      <c r="D52" s="15"/>
      <c r="E52" s="23"/>
      <c r="F52" s="23"/>
      <c r="G52" s="41" t="s">
        <v>1556</v>
      </c>
      <c r="H52" s="18" t="str">
        <f>IF(E52="","",F52*G52)</f>
        <v/>
      </c>
      <c r="I52" s="44"/>
      <c r="L52" s="48" t="str">
        <f t="shared" si="1"/>
        <v/>
      </c>
    </row>
    <row r="53" spans="2:12" ht="15.6" x14ac:dyDescent="0.25">
      <c r="B53" s="53" t="s">
        <v>1280</v>
      </c>
      <c r="C53" s="15" t="s">
        <v>328</v>
      </c>
      <c r="D53" s="15"/>
      <c r="E53" s="23" t="s">
        <v>34</v>
      </c>
      <c r="F53" s="23">
        <v>10</v>
      </c>
      <c r="G53" s="41">
        <v>546</v>
      </c>
      <c r="H53" s="18">
        <f>IF(E53="","",F53*G53)</f>
        <v>5460</v>
      </c>
      <c r="I53" s="44"/>
      <c r="K53" s="43">
        <f>_Backfill</f>
        <v>45</v>
      </c>
      <c r="L53" s="48">
        <f t="shared" si="1"/>
        <v>450</v>
      </c>
    </row>
    <row r="54" spans="2:12" x14ac:dyDescent="0.25">
      <c r="B54" s="53"/>
      <c r="C54" s="15"/>
      <c r="D54" s="15"/>
      <c r="E54" s="23"/>
      <c r="F54" s="23"/>
      <c r="G54" s="41" t="s">
        <v>1556</v>
      </c>
      <c r="H54" s="18"/>
      <c r="I54" s="44"/>
      <c r="L54" s="48" t="str">
        <f t="shared" si="1"/>
        <v/>
      </c>
    </row>
    <row r="55" spans="2:12" ht="15.6" x14ac:dyDescent="0.25">
      <c r="B55" s="53" t="s">
        <v>1281</v>
      </c>
      <c r="C55" s="15" t="s">
        <v>1175</v>
      </c>
      <c r="D55" s="23" t="s">
        <v>1602</v>
      </c>
      <c r="E55" s="23" t="s">
        <v>34</v>
      </c>
      <c r="F55" s="23">
        <v>10</v>
      </c>
      <c r="G55" s="41">
        <v>2625</v>
      </c>
      <c r="H55" s="18">
        <f>IF(E55="","",F55*G55)</f>
        <v>26250</v>
      </c>
      <c r="I55" s="44"/>
      <c r="K55" s="1">
        <f>_Place</f>
        <v>348</v>
      </c>
      <c r="L55" s="48">
        <f t="shared" si="1"/>
        <v>3480</v>
      </c>
    </row>
    <row r="56" spans="2:12" x14ac:dyDescent="0.25">
      <c r="B56" s="53"/>
      <c r="C56" s="15"/>
      <c r="D56" s="15"/>
      <c r="E56" s="23"/>
      <c r="F56" s="23"/>
      <c r="G56" s="41" t="s">
        <v>1556</v>
      </c>
      <c r="H56" s="18"/>
      <c r="I56" s="44"/>
      <c r="L56" s="48" t="str">
        <f t="shared" si="1"/>
        <v/>
      </c>
    </row>
    <row r="57" spans="2:12" ht="15.6" x14ac:dyDescent="0.25">
      <c r="B57" s="53" t="s">
        <v>1282</v>
      </c>
      <c r="C57" s="15" t="s">
        <v>1176</v>
      </c>
      <c r="D57" s="23" t="s">
        <v>1602</v>
      </c>
      <c r="E57" s="23" t="s">
        <v>34</v>
      </c>
      <c r="F57" s="23">
        <v>9</v>
      </c>
      <c r="G57" s="41">
        <v>1890</v>
      </c>
      <c r="H57" s="18">
        <f>IF(E57="","",F57*G57)</f>
        <v>17010</v>
      </c>
      <c r="I57" s="44"/>
      <c r="K57" s="1">
        <f>_Place</f>
        <v>348</v>
      </c>
      <c r="L57" s="48">
        <f t="shared" si="1"/>
        <v>3132</v>
      </c>
    </row>
    <row r="58" spans="2:12" ht="12" customHeight="1" x14ac:dyDescent="0.25">
      <c r="B58" s="53"/>
      <c r="C58" s="15"/>
      <c r="D58" s="15"/>
      <c r="E58" s="23"/>
      <c r="F58" s="23"/>
      <c r="G58" s="211"/>
      <c r="H58" s="18" t="str">
        <f t="shared" si="0"/>
        <v/>
      </c>
      <c r="I58" s="44"/>
      <c r="L58" s="48" t="str">
        <f t="shared" si="1"/>
        <v/>
      </c>
    </row>
    <row r="59" spans="2:12" x14ac:dyDescent="0.25">
      <c r="B59" s="53"/>
      <c r="C59" s="15"/>
      <c r="D59" s="15"/>
      <c r="E59" s="23"/>
      <c r="F59" s="23"/>
      <c r="G59" s="211"/>
      <c r="H59" s="18" t="str">
        <f t="shared" si="0"/>
        <v/>
      </c>
      <c r="I59" s="44"/>
      <c r="L59" s="48" t="str">
        <f t="shared" si="1"/>
        <v/>
      </c>
    </row>
    <row r="60" spans="2:12" ht="12" customHeight="1" x14ac:dyDescent="0.25">
      <c r="B60" s="53"/>
      <c r="C60" s="15"/>
      <c r="D60" s="15"/>
      <c r="E60" s="23"/>
      <c r="F60" s="23"/>
      <c r="G60" s="211"/>
      <c r="H60" s="18" t="str">
        <f t="shared" si="0"/>
        <v/>
      </c>
      <c r="I60" s="44"/>
      <c r="L60" s="48" t="str">
        <f t="shared" si="1"/>
        <v/>
      </c>
    </row>
    <row r="61" spans="2:12" s="31" customFormat="1" ht="19.5" customHeight="1" x14ac:dyDescent="0.25">
      <c r="B61" s="151" t="str">
        <f>$B$12</f>
        <v>2/C13.1</v>
      </c>
      <c r="C61" s="33" t="s">
        <v>957</v>
      </c>
      <c r="D61" s="33"/>
      <c r="E61" s="34"/>
      <c r="F61" s="35"/>
      <c r="G61" s="34"/>
      <c r="H61" s="36">
        <f>SUM(H10:H60)</f>
        <v>353799</v>
      </c>
      <c r="I61" s="37"/>
      <c r="L61" s="36">
        <f>SUM(L10:L60)</f>
        <v>113692.2</v>
      </c>
    </row>
  </sheetData>
  <mergeCells count="4">
    <mergeCell ref="F2:H2"/>
    <mergeCell ref="B5:G5"/>
    <mergeCell ref="H5:H8"/>
    <mergeCell ref="B6:G8"/>
  </mergeCells>
  <printOptions horizontalCentered="1"/>
  <pageMargins left="0.43307086614173229" right="0.31496062992125984" top="0.43307086614173229" bottom="0.62992125984251968" header="0.35433070866141736" footer="0.31496062992125984"/>
  <pageSetup paperSize="9" scale="79"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93B9F-EB50-420C-A465-231CE6D6B2D0}">
  <sheetPr>
    <tabColor rgb="FF92D050"/>
  </sheetPr>
  <dimension ref="B1:N74"/>
  <sheetViews>
    <sheetView view="pageBreakPreview" topLeftCell="A5" zoomScale="85" zoomScaleNormal="125" zoomScaleSheetLayoutView="85" zoomScalePageLayoutView="125" workbookViewId="0">
      <selection activeCell="L25" sqref="L25"/>
    </sheetView>
  </sheetViews>
  <sheetFormatPr defaultColWidth="6.6640625" defaultRowHeight="13.2" x14ac:dyDescent="0.25"/>
  <cols>
    <col min="1" max="1" width="0.6640625" style="1" customWidth="1"/>
    <col min="2" max="2" width="11.5546875" style="38" customWidth="1"/>
    <col min="3" max="3" width="45.5546875" style="3" customWidth="1"/>
    <col min="4" max="4" width="4" style="3" customWidth="1"/>
    <col min="5" max="5" width="13.5546875" style="4" customWidth="1"/>
    <col min="6" max="6" width="15.5546875" style="4" customWidth="1"/>
    <col min="7" max="7" width="15.5546875" style="1" customWidth="1"/>
    <col min="8" max="8" width="15.5546875" style="5" customWidth="1"/>
    <col min="9" max="9" width="0.6640625" style="5" customWidth="1"/>
    <col min="10" max="11" width="6.6640625" style="1"/>
    <col min="12" max="12" width="10.6640625" style="1" bestFit="1" customWidth="1"/>
    <col min="13" max="16384" width="6.6640625" style="1"/>
  </cols>
  <sheetData>
    <row r="1" spans="2:14" x14ac:dyDescent="0.25">
      <c r="H1" s="234">
        <f>MAX(H9:H498)</f>
        <v>224764</v>
      </c>
    </row>
    <row r="2" spans="2:14" x14ac:dyDescent="0.25">
      <c r="B2" s="2" t="str">
        <f>Client1</f>
        <v>Province of KwaZulu-Natal</v>
      </c>
      <c r="F2" s="510" t="str">
        <f>"Contract No. "&amp;ContractNo</f>
        <v>Contract No. ZNB02215/00000/00/HOD/INF/23/T</v>
      </c>
      <c r="G2" s="510"/>
      <c r="H2" s="510"/>
      <c r="K2" s="402"/>
      <c r="L2" s="402">
        <f>MAX(L3:L243)</f>
        <v>63714</v>
      </c>
      <c r="M2" s="402"/>
      <c r="N2" s="403"/>
    </row>
    <row r="3" spans="2:14" x14ac:dyDescent="0.25">
      <c r="B3" s="96" t="str">
        <f>Client2</f>
        <v>Department of Transport</v>
      </c>
      <c r="K3" s="1" t="s">
        <v>1421</v>
      </c>
      <c r="L3" s="1" t="s">
        <v>1422</v>
      </c>
      <c r="M3" s="1" t="s">
        <v>1423</v>
      </c>
      <c r="N3" s="1" t="s">
        <v>1424</v>
      </c>
    </row>
    <row r="4" spans="2:14" x14ac:dyDescent="0.25">
      <c r="B4" s="84"/>
      <c r="C4" s="84"/>
      <c r="D4" s="84"/>
      <c r="E4" s="85"/>
      <c r="F4" s="85"/>
      <c r="G4" s="86"/>
      <c r="H4" s="98"/>
      <c r="K4" s="86"/>
      <c r="L4" s="86"/>
      <c r="M4" s="86"/>
      <c r="N4" s="86"/>
    </row>
    <row r="5" spans="2:14" x14ac:dyDescent="0.25">
      <c r="B5" s="507" t="s">
        <v>8</v>
      </c>
      <c r="C5" s="508"/>
      <c r="D5" s="508"/>
      <c r="E5" s="508"/>
      <c r="F5" s="508"/>
      <c r="G5" s="508"/>
      <c r="H5" s="519" t="str">
        <f>"CHAPTER "&amp;B12</f>
        <v>CHAPTER 2/C13.2</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20"/>
      <c r="I6" s="9"/>
    </row>
    <row r="7" spans="2:14" ht="12.75" customHeight="1" x14ac:dyDescent="0.25">
      <c r="B7" s="500"/>
      <c r="C7" s="501"/>
      <c r="D7" s="501"/>
      <c r="E7" s="501"/>
      <c r="F7" s="501"/>
      <c r="G7" s="501"/>
      <c r="H7" s="520"/>
      <c r="I7" s="9"/>
    </row>
    <row r="8" spans="2:14" ht="7.5" customHeight="1" x14ac:dyDescent="0.25">
      <c r="B8" s="502"/>
      <c r="C8" s="503"/>
      <c r="D8" s="503"/>
      <c r="E8" s="503"/>
      <c r="F8" s="503"/>
      <c r="G8" s="503"/>
      <c r="H8" s="521"/>
      <c r="I8" s="9"/>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14"/>
      <c r="C10" s="225" t="s">
        <v>1264</v>
      </c>
      <c r="D10" s="492"/>
      <c r="E10" s="16"/>
      <c r="F10" s="16"/>
      <c r="G10" s="17"/>
      <c r="H10" s="18" t="str">
        <f t="shared" ref="H10:H71" si="0">IF(E10="","",F10*G10)</f>
        <v/>
      </c>
      <c r="I10" s="19"/>
      <c r="K10" s="17"/>
      <c r="L10" s="17"/>
      <c r="M10" s="17"/>
      <c r="N10" s="17"/>
    </row>
    <row r="11" spans="2:14" x14ac:dyDescent="0.25">
      <c r="B11" s="80"/>
      <c r="C11" s="21"/>
      <c r="D11" s="21"/>
      <c r="E11" s="23"/>
      <c r="F11" s="23"/>
      <c r="G11" s="43"/>
      <c r="H11" s="18"/>
      <c r="I11" s="44"/>
      <c r="K11" s="43"/>
      <c r="L11" s="43"/>
      <c r="M11" s="43"/>
      <c r="N11" s="43"/>
    </row>
    <row r="12" spans="2:14" ht="26.4" x14ac:dyDescent="0.25">
      <c r="B12" s="80" t="s">
        <v>1283</v>
      </c>
      <c r="C12" s="21" t="s">
        <v>418</v>
      </c>
      <c r="D12" s="23" t="s">
        <v>1602</v>
      </c>
      <c r="E12" s="23"/>
      <c r="F12" s="23"/>
      <c r="G12" s="43"/>
      <c r="H12" s="18" t="str">
        <f t="shared" si="0"/>
        <v/>
      </c>
      <c r="I12" s="44"/>
      <c r="K12" s="43"/>
      <c r="L12" s="43"/>
      <c r="M12" s="43"/>
      <c r="N12" s="43"/>
    </row>
    <row r="13" spans="2:14" x14ac:dyDescent="0.25">
      <c r="B13" s="53"/>
      <c r="C13" s="15"/>
      <c r="D13" s="15"/>
      <c r="E13" s="23"/>
      <c r="F13" s="23"/>
      <c r="G13" s="43"/>
      <c r="H13" s="18" t="str">
        <f t="shared" si="0"/>
        <v/>
      </c>
      <c r="I13" s="44"/>
      <c r="K13" s="25"/>
      <c r="L13" s="48" t="str">
        <f t="shared" ref="L13:L46" si="1">IF(K13="","",K13*F13)</f>
        <v/>
      </c>
      <c r="M13" s="25"/>
      <c r="N13" s="25"/>
    </row>
    <row r="14" spans="2:14" x14ac:dyDescent="0.25">
      <c r="B14" s="53" t="s">
        <v>1284</v>
      </c>
      <c r="C14" s="15" t="s">
        <v>1197</v>
      </c>
      <c r="D14" s="15"/>
      <c r="E14" s="23"/>
      <c r="F14" s="23"/>
      <c r="G14" s="43"/>
      <c r="H14" s="18" t="str">
        <f t="shared" si="0"/>
        <v/>
      </c>
      <c r="I14" s="44"/>
      <c r="K14" s="43"/>
      <c r="L14" s="48" t="str">
        <f t="shared" si="1"/>
        <v/>
      </c>
      <c r="M14" s="43"/>
      <c r="N14" s="43"/>
    </row>
    <row r="15" spans="2:14" x14ac:dyDescent="0.25">
      <c r="B15" s="53"/>
      <c r="C15" s="216"/>
      <c r="D15" s="216"/>
      <c r="E15" s="226"/>
      <c r="F15" s="227"/>
      <c r="G15" s="228"/>
      <c r="H15" s="18" t="str">
        <f t="shared" si="0"/>
        <v/>
      </c>
      <c r="I15" s="45"/>
      <c r="K15" s="43"/>
      <c r="L15" s="48" t="str">
        <f t="shared" si="1"/>
        <v/>
      </c>
      <c r="M15" s="43"/>
      <c r="N15" s="43"/>
    </row>
    <row r="16" spans="2:14" x14ac:dyDescent="0.25">
      <c r="B16" s="53"/>
      <c r="C16" s="216" t="s">
        <v>1198</v>
      </c>
      <c r="D16" s="216"/>
      <c r="E16" s="226"/>
      <c r="F16" s="227"/>
      <c r="G16" s="228"/>
      <c r="H16" s="18" t="str">
        <f t="shared" si="0"/>
        <v/>
      </c>
      <c r="I16" s="45"/>
      <c r="K16" s="43"/>
      <c r="L16" s="48" t="str">
        <f t="shared" si="1"/>
        <v/>
      </c>
      <c r="M16" s="43"/>
      <c r="N16" s="43"/>
    </row>
    <row r="17" spans="2:14" x14ac:dyDescent="0.25">
      <c r="B17" s="53"/>
      <c r="C17" s="216"/>
      <c r="D17" s="216"/>
      <c r="E17" s="226"/>
      <c r="F17" s="227"/>
      <c r="G17" s="228"/>
      <c r="H17" s="18" t="str">
        <f t="shared" si="0"/>
        <v/>
      </c>
      <c r="I17" s="45"/>
      <c r="K17" s="43"/>
      <c r="L17" s="48" t="str">
        <f t="shared" si="1"/>
        <v/>
      </c>
      <c r="M17" s="43"/>
      <c r="N17" s="43"/>
    </row>
    <row r="18" spans="2:14" x14ac:dyDescent="0.25">
      <c r="B18" s="53"/>
      <c r="C18" s="216" t="s">
        <v>1199</v>
      </c>
      <c r="D18" s="216"/>
      <c r="E18" s="226" t="s">
        <v>989</v>
      </c>
      <c r="F18" s="227">
        <v>80</v>
      </c>
      <c r="G18" s="228">
        <v>368</v>
      </c>
      <c r="H18" s="18">
        <f t="shared" si="0"/>
        <v>29440</v>
      </c>
      <c r="I18" s="45"/>
      <c r="K18" s="43">
        <v>111</v>
      </c>
      <c r="L18" s="48">
        <f t="shared" si="1"/>
        <v>8880</v>
      </c>
      <c r="M18" s="43"/>
      <c r="N18" s="43"/>
    </row>
    <row r="19" spans="2:14" x14ac:dyDescent="0.25">
      <c r="B19" s="53"/>
      <c r="C19" s="216"/>
      <c r="D19" s="216"/>
      <c r="E19" s="226"/>
      <c r="F19" s="227"/>
      <c r="G19" s="228" t="s">
        <v>1556</v>
      </c>
      <c r="H19" s="18" t="str">
        <f t="shared" si="0"/>
        <v/>
      </c>
      <c r="I19" s="45"/>
      <c r="K19" s="43"/>
      <c r="L19" s="48" t="str">
        <f t="shared" si="1"/>
        <v/>
      </c>
      <c r="M19" s="43"/>
      <c r="N19" s="43"/>
    </row>
    <row r="20" spans="2:14" x14ac:dyDescent="0.25">
      <c r="B20" s="53"/>
      <c r="C20" s="216" t="s">
        <v>1200</v>
      </c>
      <c r="D20" s="216"/>
      <c r="E20" s="226" t="s">
        <v>989</v>
      </c>
      <c r="F20" s="227">
        <v>94</v>
      </c>
      <c r="G20" s="228">
        <v>368</v>
      </c>
      <c r="H20" s="18">
        <f t="shared" si="0"/>
        <v>34592</v>
      </c>
      <c r="I20" s="45"/>
      <c r="K20" s="43">
        <v>111</v>
      </c>
      <c r="L20" s="48">
        <f t="shared" si="1"/>
        <v>10434</v>
      </c>
      <c r="M20" s="43"/>
      <c r="N20" s="43"/>
    </row>
    <row r="21" spans="2:14" x14ac:dyDescent="0.25">
      <c r="B21" s="53"/>
      <c r="C21" s="216"/>
      <c r="D21" s="216"/>
      <c r="E21" s="215"/>
      <c r="F21" s="227"/>
      <c r="G21" s="228" t="s">
        <v>1556</v>
      </c>
      <c r="H21" s="18" t="str">
        <f t="shared" si="0"/>
        <v/>
      </c>
      <c r="I21" s="45"/>
      <c r="K21" s="43"/>
      <c r="L21" s="48" t="str">
        <f t="shared" si="1"/>
        <v/>
      </c>
      <c r="M21" s="43"/>
      <c r="N21" s="43"/>
    </row>
    <row r="22" spans="2:14" x14ac:dyDescent="0.25">
      <c r="B22" s="53"/>
      <c r="C22" s="216" t="s">
        <v>1201</v>
      </c>
      <c r="D22" s="216"/>
      <c r="E22" s="226" t="s">
        <v>989</v>
      </c>
      <c r="F22" s="227">
        <v>53</v>
      </c>
      <c r="G22" s="228">
        <v>368</v>
      </c>
      <c r="H22" s="18">
        <f t="shared" si="0"/>
        <v>19504</v>
      </c>
      <c r="I22" s="45"/>
      <c r="K22" s="43">
        <v>111</v>
      </c>
      <c r="L22" s="48">
        <f t="shared" si="1"/>
        <v>5883</v>
      </c>
      <c r="M22" s="43"/>
      <c r="N22" s="43"/>
    </row>
    <row r="23" spans="2:14" x14ac:dyDescent="0.25">
      <c r="B23" s="53"/>
      <c r="C23" s="216"/>
      <c r="D23" s="216"/>
      <c r="E23" s="226"/>
      <c r="F23" s="227"/>
      <c r="G23" s="228" t="s">
        <v>1556</v>
      </c>
      <c r="H23" s="18" t="str">
        <f t="shared" si="0"/>
        <v/>
      </c>
      <c r="I23" s="45"/>
      <c r="K23" s="43"/>
      <c r="L23" s="48" t="str">
        <f t="shared" si="1"/>
        <v/>
      </c>
      <c r="M23" s="43"/>
      <c r="N23" s="43"/>
    </row>
    <row r="24" spans="2:14" x14ac:dyDescent="0.25">
      <c r="B24" s="53"/>
      <c r="C24" s="216" t="s">
        <v>1202</v>
      </c>
      <c r="D24" s="216"/>
      <c r="E24" s="226" t="s">
        <v>989</v>
      </c>
      <c r="F24" s="227">
        <v>10</v>
      </c>
      <c r="G24" s="228">
        <v>368</v>
      </c>
      <c r="H24" s="18">
        <f t="shared" si="0"/>
        <v>3680</v>
      </c>
      <c r="I24" s="45"/>
      <c r="K24" s="43">
        <v>111</v>
      </c>
      <c r="L24" s="48">
        <f t="shared" si="1"/>
        <v>1110</v>
      </c>
      <c r="M24" s="43"/>
      <c r="N24" s="43"/>
    </row>
    <row r="25" spans="2:14" x14ac:dyDescent="0.25">
      <c r="B25" s="53"/>
      <c r="C25" s="216"/>
      <c r="D25" s="216"/>
      <c r="E25" s="215"/>
      <c r="F25" s="227"/>
      <c r="G25" s="228" t="s">
        <v>1556</v>
      </c>
      <c r="H25" s="18" t="str">
        <f t="shared" si="0"/>
        <v/>
      </c>
      <c r="I25" s="45"/>
      <c r="K25" s="43"/>
      <c r="L25" s="48" t="str">
        <f t="shared" si="1"/>
        <v/>
      </c>
      <c r="M25" s="43"/>
      <c r="N25" s="43"/>
    </row>
    <row r="26" spans="2:14" x14ac:dyDescent="0.25">
      <c r="B26" s="53"/>
      <c r="C26" s="216" t="s">
        <v>1203</v>
      </c>
      <c r="D26" s="216"/>
      <c r="E26" s="226" t="s">
        <v>989</v>
      </c>
      <c r="F26" s="227">
        <v>32</v>
      </c>
      <c r="G26" s="228">
        <v>368</v>
      </c>
      <c r="H26" s="18">
        <f t="shared" si="0"/>
        <v>11776</v>
      </c>
      <c r="I26" s="45"/>
      <c r="K26" s="43">
        <v>111</v>
      </c>
      <c r="L26" s="48">
        <f t="shared" si="1"/>
        <v>3552</v>
      </c>
      <c r="M26" s="43"/>
      <c r="N26" s="43"/>
    </row>
    <row r="27" spans="2:14" x14ac:dyDescent="0.25">
      <c r="B27" s="53"/>
      <c r="C27" s="216"/>
      <c r="D27" s="216"/>
      <c r="E27" s="226"/>
      <c r="F27" s="227"/>
      <c r="G27" s="228" t="s">
        <v>1556</v>
      </c>
      <c r="H27" s="18" t="str">
        <f t="shared" si="0"/>
        <v/>
      </c>
      <c r="I27" s="45"/>
      <c r="K27" s="43"/>
      <c r="L27" s="48" t="str">
        <f t="shared" si="1"/>
        <v/>
      </c>
      <c r="M27" s="43"/>
      <c r="N27" s="43"/>
    </row>
    <row r="28" spans="2:14" x14ac:dyDescent="0.25">
      <c r="B28" s="53"/>
      <c r="C28" s="216" t="s">
        <v>1204</v>
      </c>
      <c r="D28" s="216"/>
      <c r="E28" s="215"/>
      <c r="F28" s="227"/>
      <c r="G28" s="228" t="s">
        <v>1556</v>
      </c>
      <c r="H28" s="18" t="str">
        <f t="shared" si="0"/>
        <v/>
      </c>
      <c r="I28" s="45"/>
      <c r="K28" s="43"/>
      <c r="L28" s="48" t="str">
        <f t="shared" si="1"/>
        <v/>
      </c>
      <c r="M28" s="43"/>
      <c r="N28" s="43"/>
    </row>
    <row r="29" spans="2:14" x14ac:dyDescent="0.25">
      <c r="B29" s="53"/>
      <c r="C29" s="216"/>
      <c r="D29" s="216"/>
      <c r="E29" s="215"/>
      <c r="F29" s="227"/>
      <c r="G29" s="228" t="s">
        <v>1556</v>
      </c>
      <c r="H29" s="18" t="str">
        <f t="shared" si="0"/>
        <v/>
      </c>
      <c r="I29" s="45"/>
      <c r="K29" s="43"/>
      <c r="L29" s="48" t="str">
        <f t="shared" si="1"/>
        <v/>
      </c>
      <c r="M29" s="43"/>
      <c r="N29" s="43"/>
    </row>
    <row r="30" spans="2:14" x14ac:dyDescent="0.25">
      <c r="B30" s="53"/>
      <c r="C30" s="216" t="s">
        <v>1205</v>
      </c>
      <c r="D30" s="216"/>
      <c r="E30" s="226" t="s">
        <v>989</v>
      </c>
      <c r="F30" s="227">
        <v>94</v>
      </c>
      <c r="G30" s="228">
        <v>420</v>
      </c>
      <c r="H30" s="18">
        <f t="shared" si="0"/>
        <v>39480</v>
      </c>
      <c r="I30" s="45"/>
      <c r="K30" s="43">
        <v>111</v>
      </c>
      <c r="L30" s="48">
        <f t="shared" si="1"/>
        <v>10434</v>
      </c>
      <c r="M30" s="43"/>
      <c r="N30" s="43"/>
    </row>
    <row r="31" spans="2:14" x14ac:dyDescent="0.25">
      <c r="B31" s="53"/>
      <c r="C31" s="216"/>
      <c r="D31" s="216"/>
      <c r="E31" s="226"/>
      <c r="F31" s="227"/>
      <c r="G31" s="228" t="s">
        <v>1556</v>
      </c>
      <c r="H31" s="18" t="str">
        <f t="shared" si="0"/>
        <v/>
      </c>
      <c r="I31" s="45"/>
      <c r="K31" s="43"/>
      <c r="L31" s="48" t="str">
        <f t="shared" si="1"/>
        <v/>
      </c>
      <c r="M31" s="43"/>
      <c r="N31" s="43"/>
    </row>
    <row r="32" spans="2:14" x14ac:dyDescent="0.25">
      <c r="B32" s="53"/>
      <c r="C32" s="216" t="s">
        <v>1206</v>
      </c>
      <c r="D32" s="216"/>
      <c r="E32" s="226" t="s">
        <v>989</v>
      </c>
      <c r="F32" s="227">
        <v>61</v>
      </c>
      <c r="G32" s="228">
        <v>420</v>
      </c>
      <c r="H32" s="18">
        <f t="shared" si="0"/>
        <v>25620</v>
      </c>
      <c r="I32" s="45"/>
      <c r="K32" s="43">
        <v>111</v>
      </c>
      <c r="L32" s="48">
        <f t="shared" si="1"/>
        <v>6771</v>
      </c>
      <c r="M32" s="43"/>
      <c r="N32" s="43"/>
    </row>
    <row r="33" spans="2:14" x14ac:dyDescent="0.25">
      <c r="B33" s="53"/>
      <c r="C33" s="15"/>
      <c r="D33" s="15"/>
      <c r="E33" s="23"/>
      <c r="F33" s="24"/>
      <c r="G33" s="25" t="s">
        <v>1556</v>
      </c>
      <c r="H33" s="18" t="str">
        <f t="shared" si="0"/>
        <v/>
      </c>
      <c r="I33" s="45"/>
      <c r="K33" s="43"/>
      <c r="L33" s="48" t="str">
        <f t="shared" si="1"/>
        <v/>
      </c>
      <c r="M33" s="43"/>
      <c r="N33" s="43"/>
    </row>
    <row r="34" spans="2:14" x14ac:dyDescent="0.25">
      <c r="B34" s="53" t="s">
        <v>1285</v>
      </c>
      <c r="C34" s="15" t="s">
        <v>1207</v>
      </c>
      <c r="D34" s="15"/>
      <c r="E34" s="23"/>
      <c r="F34" s="24"/>
      <c r="G34" s="25" t="s">
        <v>1556</v>
      </c>
      <c r="H34" s="18" t="str">
        <f>IF(E34="","",F34*G34)</f>
        <v/>
      </c>
      <c r="I34" s="45"/>
      <c r="K34" s="43"/>
      <c r="L34" s="48" t="str">
        <f t="shared" si="1"/>
        <v/>
      </c>
      <c r="M34" s="43"/>
      <c r="N34" s="43"/>
    </row>
    <row r="35" spans="2:14" x14ac:dyDescent="0.25">
      <c r="B35" s="53"/>
      <c r="C35" s="15"/>
      <c r="D35" s="15"/>
      <c r="E35" s="23"/>
      <c r="F35" s="24"/>
      <c r="G35" s="25" t="s">
        <v>1556</v>
      </c>
      <c r="H35" s="18" t="str">
        <f t="shared" ref="H35:H51" si="2">IF(E35="","",F35*G35)</f>
        <v/>
      </c>
      <c r="I35" s="45"/>
      <c r="K35" s="43"/>
      <c r="L35" s="48" t="str">
        <f t="shared" si="1"/>
        <v/>
      </c>
      <c r="M35" s="43"/>
      <c r="N35" s="43"/>
    </row>
    <row r="36" spans="2:14" x14ac:dyDescent="0.25">
      <c r="B36" s="53"/>
      <c r="C36" s="15" t="s">
        <v>1208</v>
      </c>
      <c r="D36" s="15"/>
      <c r="E36" s="23"/>
      <c r="F36" s="24"/>
      <c r="G36" s="25" t="s">
        <v>1556</v>
      </c>
      <c r="H36" s="18" t="str">
        <f t="shared" si="2"/>
        <v/>
      </c>
      <c r="I36" s="45"/>
      <c r="K36" s="43"/>
      <c r="L36" s="48" t="str">
        <f t="shared" si="1"/>
        <v/>
      </c>
      <c r="M36" s="43"/>
      <c r="N36" s="43"/>
    </row>
    <row r="37" spans="2:14" x14ac:dyDescent="0.25">
      <c r="B37" s="53"/>
      <c r="C37" s="15"/>
      <c r="D37" s="15"/>
      <c r="E37" s="23"/>
      <c r="F37" s="24"/>
      <c r="G37" s="25" t="s">
        <v>1556</v>
      </c>
      <c r="H37" s="18" t="str">
        <f t="shared" si="2"/>
        <v/>
      </c>
      <c r="I37" s="45"/>
      <c r="K37" s="43"/>
      <c r="L37" s="48" t="str">
        <f t="shared" si="1"/>
        <v/>
      </c>
      <c r="M37" s="43"/>
      <c r="N37" s="43"/>
    </row>
    <row r="38" spans="2:14" ht="13.8" x14ac:dyDescent="0.25">
      <c r="B38" s="53"/>
      <c r="C38" s="15" t="s">
        <v>1209</v>
      </c>
      <c r="D38" s="15"/>
      <c r="E38" s="23" t="s">
        <v>989</v>
      </c>
      <c r="F38" s="24">
        <v>69</v>
      </c>
      <c r="G38" s="25">
        <v>263</v>
      </c>
      <c r="H38" s="18">
        <f t="shared" si="2"/>
        <v>18147</v>
      </c>
      <c r="I38" s="45"/>
      <c r="K38" s="43">
        <v>111</v>
      </c>
      <c r="L38" s="48">
        <f t="shared" si="1"/>
        <v>7659</v>
      </c>
      <c r="M38" s="43"/>
      <c r="N38" s="43"/>
    </row>
    <row r="39" spans="2:14" x14ac:dyDescent="0.25">
      <c r="B39" s="53"/>
      <c r="C39" s="15"/>
      <c r="D39" s="15"/>
      <c r="E39" s="23"/>
      <c r="F39" s="24"/>
      <c r="G39" s="25" t="s">
        <v>1556</v>
      </c>
      <c r="H39" s="18" t="str">
        <f t="shared" si="2"/>
        <v/>
      </c>
      <c r="I39" s="45"/>
      <c r="K39" s="43"/>
      <c r="L39" s="48" t="str">
        <f t="shared" si="1"/>
        <v/>
      </c>
      <c r="M39" s="43"/>
      <c r="N39" s="43"/>
    </row>
    <row r="40" spans="2:14" x14ac:dyDescent="0.25">
      <c r="B40" s="53" t="s">
        <v>1286</v>
      </c>
      <c r="C40" s="15" t="s">
        <v>1210</v>
      </c>
      <c r="D40" s="15"/>
      <c r="E40" s="23"/>
      <c r="F40" s="24"/>
      <c r="G40" s="25" t="s">
        <v>1556</v>
      </c>
      <c r="H40" s="18" t="str">
        <f t="shared" si="2"/>
        <v/>
      </c>
      <c r="I40" s="45"/>
      <c r="K40" s="43"/>
      <c r="L40" s="48" t="str">
        <f t="shared" si="1"/>
        <v/>
      </c>
      <c r="M40" s="43"/>
      <c r="N40" s="43"/>
    </row>
    <row r="41" spans="2:14" x14ac:dyDescent="0.25">
      <c r="B41" s="53"/>
      <c r="C41" s="15"/>
      <c r="D41" s="15"/>
      <c r="E41" s="23"/>
      <c r="F41" s="24"/>
      <c r="G41" s="25" t="s">
        <v>1556</v>
      </c>
      <c r="H41" s="18" t="str">
        <f t="shared" si="2"/>
        <v/>
      </c>
      <c r="I41" s="45"/>
      <c r="K41" s="43"/>
      <c r="L41" s="48" t="str">
        <f t="shared" si="1"/>
        <v/>
      </c>
      <c r="M41" s="43"/>
      <c r="N41" s="43"/>
    </row>
    <row r="42" spans="2:14" x14ac:dyDescent="0.25">
      <c r="B42" s="53"/>
      <c r="C42" s="15" t="s">
        <v>1211</v>
      </c>
      <c r="D42" s="15"/>
      <c r="E42" s="23"/>
      <c r="F42" s="24"/>
      <c r="G42" s="25" t="s">
        <v>1556</v>
      </c>
      <c r="H42" s="18" t="str">
        <f t="shared" si="2"/>
        <v/>
      </c>
      <c r="I42" s="45"/>
      <c r="K42" s="43"/>
      <c r="L42" s="48" t="str">
        <f t="shared" si="1"/>
        <v/>
      </c>
      <c r="M42" s="43"/>
      <c r="N42" s="43"/>
    </row>
    <row r="43" spans="2:14" x14ac:dyDescent="0.25">
      <c r="B43" s="53"/>
      <c r="C43" s="15"/>
      <c r="D43" s="15"/>
      <c r="E43" s="23"/>
      <c r="F43" s="24"/>
      <c r="G43" s="25" t="s">
        <v>1556</v>
      </c>
      <c r="H43" s="18" t="str">
        <f t="shared" si="2"/>
        <v/>
      </c>
      <c r="I43" s="45"/>
      <c r="K43" s="43"/>
      <c r="L43" s="48" t="str">
        <f t="shared" si="1"/>
        <v/>
      </c>
      <c r="M43" s="43"/>
      <c r="N43" s="43"/>
    </row>
    <row r="44" spans="2:14" ht="13.8" x14ac:dyDescent="0.25">
      <c r="B44" s="53"/>
      <c r="C44" s="15" t="s">
        <v>1212</v>
      </c>
      <c r="D44" s="15"/>
      <c r="E44" s="23" t="s">
        <v>989</v>
      </c>
      <c r="F44" s="24">
        <v>71</v>
      </c>
      <c r="G44" s="25">
        <v>525</v>
      </c>
      <c r="H44" s="18">
        <f t="shared" si="2"/>
        <v>37275</v>
      </c>
      <c r="I44" s="45"/>
      <c r="K44" s="43">
        <v>111</v>
      </c>
      <c r="L44" s="48">
        <f t="shared" si="1"/>
        <v>7881</v>
      </c>
      <c r="M44" s="43"/>
      <c r="N44" s="43"/>
    </row>
    <row r="45" spans="2:14" x14ac:dyDescent="0.25">
      <c r="B45" s="53"/>
      <c r="C45" s="15"/>
      <c r="D45" s="15"/>
      <c r="E45" s="23"/>
      <c r="F45" s="24"/>
      <c r="G45" s="25" t="s">
        <v>1556</v>
      </c>
      <c r="H45" s="18" t="str">
        <f t="shared" si="2"/>
        <v/>
      </c>
      <c r="I45" s="45"/>
      <c r="K45" s="43"/>
      <c r="L45" s="48" t="str">
        <f t="shared" si="1"/>
        <v/>
      </c>
      <c r="M45" s="43"/>
      <c r="N45" s="43"/>
    </row>
    <row r="46" spans="2:14" ht="13.8" x14ac:dyDescent="0.25">
      <c r="B46" s="53"/>
      <c r="C46" s="15" t="s">
        <v>1213</v>
      </c>
      <c r="D46" s="15"/>
      <c r="E46" s="23" t="s">
        <v>989</v>
      </c>
      <c r="F46" s="24">
        <v>10</v>
      </c>
      <c r="G46" s="25">
        <v>525</v>
      </c>
      <c r="H46" s="18">
        <f t="shared" si="2"/>
        <v>5250</v>
      </c>
      <c r="I46" s="45"/>
      <c r="K46" s="43">
        <v>111</v>
      </c>
      <c r="L46" s="48">
        <f t="shared" si="1"/>
        <v>1110</v>
      </c>
      <c r="M46" s="43"/>
      <c r="N46" s="43"/>
    </row>
    <row r="47" spans="2:14" x14ac:dyDescent="0.25">
      <c r="B47" s="53"/>
      <c r="C47" s="15"/>
      <c r="D47" s="15"/>
      <c r="E47" s="23"/>
      <c r="F47" s="24"/>
      <c r="G47" s="25"/>
      <c r="H47" s="18" t="str">
        <f t="shared" si="2"/>
        <v/>
      </c>
      <c r="I47" s="45"/>
      <c r="K47" s="43"/>
      <c r="L47" s="48" t="str">
        <f t="shared" ref="L47:L73" si="3">IF(K47="","",K47*F47)</f>
        <v/>
      </c>
      <c r="M47" s="43"/>
      <c r="N47" s="43"/>
    </row>
    <row r="48" spans="2:14" x14ac:dyDescent="0.25">
      <c r="B48" s="53"/>
      <c r="C48" s="15"/>
      <c r="D48" s="15"/>
      <c r="E48" s="23"/>
      <c r="F48" s="24"/>
      <c r="G48" s="25"/>
      <c r="H48" s="18" t="str">
        <f t="shared" si="2"/>
        <v/>
      </c>
      <c r="I48" s="45"/>
      <c r="K48" s="43"/>
      <c r="L48" s="48" t="str">
        <f t="shared" si="3"/>
        <v/>
      </c>
      <c r="M48" s="43"/>
      <c r="N48" s="43"/>
    </row>
    <row r="49" spans="2:14" x14ac:dyDescent="0.25">
      <c r="B49" s="53"/>
      <c r="C49" s="15"/>
      <c r="D49" s="15"/>
      <c r="E49" s="23"/>
      <c r="F49" s="24"/>
      <c r="G49" s="25"/>
      <c r="H49" s="18" t="str">
        <f t="shared" si="2"/>
        <v/>
      </c>
      <c r="I49" s="45"/>
      <c r="K49" s="43"/>
      <c r="L49" s="48" t="str">
        <f t="shared" si="3"/>
        <v/>
      </c>
      <c r="M49" s="43"/>
      <c r="N49" s="43"/>
    </row>
    <row r="50" spans="2:14" x14ac:dyDescent="0.25">
      <c r="B50" s="53"/>
      <c r="C50" s="15"/>
      <c r="D50" s="15"/>
      <c r="E50" s="23"/>
      <c r="F50" s="24"/>
      <c r="G50" s="43"/>
      <c r="H50" s="18" t="str">
        <f t="shared" si="2"/>
        <v/>
      </c>
      <c r="I50" s="44"/>
      <c r="K50" s="43"/>
      <c r="L50" s="48" t="str">
        <f t="shared" si="3"/>
        <v/>
      </c>
      <c r="M50" s="43"/>
      <c r="N50" s="43"/>
    </row>
    <row r="51" spans="2:14" x14ac:dyDescent="0.25">
      <c r="B51" s="53"/>
      <c r="C51" s="15"/>
      <c r="D51" s="15"/>
      <c r="E51" s="23"/>
      <c r="F51" s="24"/>
      <c r="G51" s="43"/>
      <c r="H51" s="18" t="str">
        <f t="shared" si="2"/>
        <v/>
      </c>
      <c r="I51" s="44"/>
      <c r="K51" s="43"/>
      <c r="L51" s="48" t="str">
        <f t="shared" si="3"/>
        <v/>
      </c>
      <c r="M51" s="43"/>
      <c r="N51" s="43"/>
    </row>
    <row r="52" spans="2:14" x14ac:dyDescent="0.25">
      <c r="B52" s="53"/>
      <c r="C52" s="15"/>
      <c r="D52" s="15"/>
      <c r="E52" s="23"/>
      <c r="F52" s="24"/>
      <c r="G52" s="46"/>
      <c r="H52" s="18" t="str">
        <f t="shared" si="0"/>
        <v/>
      </c>
      <c r="I52" s="44"/>
      <c r="K52" s="43"/>
      <c r="L52" s="48" t="str">
        <f t="shared" si="3"/>
        <v/>
      </c>
      <c r="M52" s="43"/>
      <c r="N52" s="43"/>
    </row>
    <row r="53" spans="2:14" x14ac:dyDescent="0.25">
      <c r="B53" s="22"/>
      <c r="C53" s="15"/>
      <c r="D53" s="15"/>
      <c r="E53" s="23"/>
      <c r="F53" s="23"/>
      <c r="G53" s="43"/>
      <c r="H53" s="18" t="str">
        <f t="shared" si="0"/>
        <v/>
      </c>
      <c r="I53" s="44"/>
      <c r="K53" s="43"/>
      <c r="L53" s="48" t="str">
        <f t="shared" si="3"/>
        <v/>
      </c>
      <c r="M53" s="43"/>
      <c r="N53" s="43"/>
    </row>
    <row r="54" spans="2:14" x14ac:dyDescent="0.25">
      <c r="B54" s="14"/>
      <c r="C54" s="15"/>
      <c r="D54" s="15"/>
      <c r="E54" s="23"/>
      <c r="F54" s="23"/>
      <c r="G54" s="43"/>
      <c r="H54" s="18" t="str">
        <f t="shared" si="0"/>
        <v/>
      </c>
      <c r="I54" s="44"/>
      <c r="K54" s="43"/>
      <c r="L54" s="48" t="str">
        <f t="shared" si="3"/>
        <v/>
      </c>
      <c r="M54" s="43"/>
      <c r="N54" s="43"/>
    </row>
    <row r="55" spans="2:14" x14ac:dyDescent="0.25">
      <c r="B55" s="22"/>
      <c r="C55" s="15"/>
      <c r="D55" s="15"/>
      <c r="E55" s="23"/>
      <c r="F55" s="23"/>
      <c r="G55" s="41"/>
      <c r="H55" s="18" t="str">
        <f t="shared" si="0"/>
        <v/>
      </c>
      <c r="I55" s="44"/>
      <c r="K55" s="43"/>
      <c r="L55" s="48" t="str">
        <f t="shared" si="3"/>
        <v/>
      </c>
      <c r="M55" s="43"/>
      <c r="N55" s="43"/>
    </row>
    <row r="56" spans="2:14" x14ac:dyDescent="0.25">
      <c r="B56" s="22"/>
      <c r="C56" s="15"/>
      <c r="D56" s="15"/>
      <c r="E56" s="23"/>
      <c r="F56" s="23"/>
      <c r="G56" s="41"/>
      <c r="H56" s="18" t="str">
        <f t="shared" si="0"/>
        <v/>
      </c>
      <c r="I56" s="44"/>
      <c r="K56" s="43"/>
      <c r="L56" s="48" t="str">
        <f t="shared" si="3"/>
        <v/>
      </c>
      <c r="M56" s="43"/>
      <c r="N56" s="43"/>
    </row>
    <row r="57" spans="2:14" x14ac:dyDescent="0.25">
      <c r="B57" s="22"/>
      <c r="C57" s="15"/>
      <c r="D57" s="15"/>
      <c r="E57" s="23"/>
      <c r="F57" s="23"/>
      <c r="G57" s="41"/>
      <c r="H57" s="18" t="str">
        <f t="shared" si="0"/>
        <v/>
      </c>
      <c r="I57" s="44"/>
      <c r="K57" s="43"/>
      <c r="L57" s="48" t="str">
        <f t="shared" si="3"/>
        <v/>
      </c>
      <c r="M57" s="43"/>
      <c r="N57" s="43"/>
    </row>
    <row r="58" spans="2:14" x14ac:dyDescent="0.25">
      <c r="B58" s="14"/>
      <c r="C58" s="15"/>
      <c r="D58" s="15"/>
      <c r="E58" s="23"/>
      <c r="F58" s="23"/>
      <c r="G58" s="41"/>
      <c r="H58" s="18" t="str">
        <f t="shared" si="0"/>
        <v/>
      </c>
      <c r="I58" s="44"/>
      <c r="K58" s="43"/>
      <c r="L58" s="48" t="str">
        <f t="shared" si="3"/>
        <v/>
      </c>
      <c r="M58" s="43"/>
      <c r="N58" s="43"/>
    </row>
    <row r="59" spans="2:14" x14ac:dyDescent="0.25">
      <c r="B59" s="14"/>
      <c r="C59" s="15"/>
      <c r="D59" s="15"/>
      <c r="E59" s="23"/>
      <c r="F59" s="23"/>
      <c r="G59" s="41"/>
      <c r="H59" s="18" t="str">
        <f t="shared" si="0"/>
        <v/>
      </c>
      <c r="I59" s="44"/>
      <c r="K59" s="43"/>
      <c r="L59" s="48" t="str">
        <f t="shared" si="3"/>
        <v/>
      </c>
      <c r="M59" s="43"/>
      <c r="N59" s="43"/>
    </row>
    <row r="60" spans="2:14" x14ac:dyDescent="0.25">
      <c r="B60" s="14"/>
      <c r="C60" s="15"/>
      <c r="D60" s="15"/>
      <c r="E60" s="23"/>
      <c r="F60" s="23"/>
      <c r="G60" s="41"/>
      <c r="H60" s="18" t="str">
        <f t="shared" si="0"/>
        <v/>
      </c>
      <c r="I60" s="44"/>
      <c r="K60" s="43"/>
      <c r="L60" s="48" t="str">
        <f t="shared" si="3"/>
        <v/>
      </c>
      <c r="M60" s="43"/>
      <c r="N60" s="43"/>
    </row>
    <row r="61" spans="2:14" x14ac:dyDescent="0.25">
      <c r="B61" s="14"/>
      <c r="C61" s="15"/>
      <c r="D61" s="15"/>
      <c r="E61" s="23"/>
      <c r="F61" s="23"/>
      <c r="G61" s="51"/>
      <c r="H61" s="18" t="str">
        <f t="shared" si="0"/>
        <v/>
      </c>
      <c r="I61" s="44"/>
      <c r="K61" s="43"/>
      <c r="L61" s="48" t="str">
        <f t="shared" si="3"/>
        <v/>
      </c>
      <c r="M61" s="43"/>
      <c r="N61" s="43"/>
    </row>
    <row r="62" spans="2:14" x14ac:dyDescent="0.25">
      <c r="B62" s="14"/>
      <c r="C62" s="15"/>
      <c r="D62" s="15"/>
      <c r="E62" s="23"/>
      <c r="F62" s="23"/>
      <c r="G62" s="51"/>
      <c r="H62" s="18" t="str">
        <f t="shared" si="0"/>
        <v/>
      </c>
      <c r="I62" s="44"/>
      <c r="K62" s="43"/>
      <c r="L62" s="48" t="str">
        <f t="shared" si="3"/>
        <v/>
      </c>
      <c r="M62" s="43"/>
      <c r="N62" s="43"/>
    </row>
    <row r="63" spans="2:14" x14ac:dyDescent="0.25">
      <c r="B63" s="14"/>
      <c r="C63" s="15"/>
      <c r="D63" s="15"/>
      <c r="E63" s="23"/>
      <c r="F63" s="23"/>
      <c r="G63" s="41"/>
      <c r="H63" s="18" t="str">
        <f t="shared" si="0"/>
        <v/>
      </c>
      <c r="I63" s="44"/>
      <c r="K63" s="43"/>
      <c r="L63" s="48" t="str">
        <f t="shared" si="3"/>
        <v/>
      </c>
      <c r="M63" s="43"/>
      <c r="N63" s="43"/>
    </row>
    <row r="64" spans="2:14" x14ac:dyDescent="0.25">
      <c r="B64" s="14"/>
      <c r="C64" s="15"/>
      <c r="D64" s="15"/>
      <c r="E64" s="23"/>
      <c r="F64" s="23"/>
      <c r="G64" s="41"/>
      <c r="H64" s="18" t="str">
        <f t="shared" si="0"/>
        <v/>
      </c>
      <c r="I64" s="44"/>
      <c r="K64" s="43"/>
      <c r="L64" s="48" t="str">
        <f t="shared" si="3"/>
        <v/>
      </c>
      <c r="M64" s="43"/>
      <c r="N64" s="43"/>
    </row>
    <row r="65" spans="2:14" x14ac:dyDescent="0.25">
      <c r="B65" s="14"/>
      <c r="C65" s="15"/>
      <c r="D65" s="15"/>
      <c r="E65" s="23"/>
      <c r="F65" s="23"/>
      <c r="G65" s="41"/>
      <c r="H65" s="18" t="str">
        <f t="shared" si="0"/>
        <v/>
      </c>
      <c r="I65" s="44"/>
      <c r="K65" s="43"/>
      <c r="L65" s="48" t="str">
        <f t="shared" si="3"/>
        <v/>
      </c>
      <c r="M65" s="43"/>
      <c r="N65" s="43"/>
    </row>
    <row r="66" spans="2:14" x14ac:dyDescent="0.25">
      <c r="B66" s="14"/>
      <c r="C66" s="15"/>
      <c r="D66" s="15"/>
      <c r="E66" s="23"/>
      <c r="F66" s="23"/>
      <c r="G66" s="41"/>
      <c r="H66" s="18" t="str">
        <f t="shared" si="0"/>
        <v/>
      </c>
      <c r="I66" s="44"/>
      <c r="K66" s="43"/>
      <c r="L66" s="48" t="str">
        <f t="shared" si="3"/>
        <v/>
      </c>
      <c r="M66" s="43"/>
      <c r="N66" s="43"/>
    </row>
    <row r="67" spans="2:14" x14ac:dyDescent="0.25">
      <c r="B67" s="14"/>
      <c r="C67" s="15"/>
      <c r="D67" s="15"/>
      <c r="E67" s="40"/>
      <c r="F67" s="40"/>
      <c r="G67" s="41"/>
      <c r="H67" s="18" t="str">
        <f t="shared" si="0"/>
        <v/>
      </c>
      <c r="K67" s="43"/>
      <c r="L67" s="48" t="str">
        <f t="shared" si="3"/>
        <v/>
      </c>
      <c r="M67" s="43"/>
      <c r="N67" s="43"/>
    </row>
    <row r="68" spans="2:14" x14ac:dyDescent="0.25">
      <c r="B68" s="14"/>
      <c r="C68" s="15"/>
      <c r="D68" s="15"/>
      <c r="E68" s="23"/>
      <c r="F68" s="23"/>
      <c r="G68" s="41"/>
      <c r="H68" s="18" t="str">
        <f t="shared" si="0"/>
        <v/>
      </c>
      <c r="I68" s="44"/>
      <c r="K68" s="43"/>
      <c r="L68" s="48" t="str">
        <f t="shared" si="3"/>
        <v/>
      </c>
      <c r="M68" s="43"/>
      <c r="N68" s="43"/>
    </row>
    <row r="69" spans="2:14" x14ac:dyDescent="0.25">
      <c r="B69" s="14"/>
      <c r="C69" s="15"/>
      <c r="D69" s="15"/>
      <c r="E69" s="40"/>
      <c r="F69" s="40"/>
      <c r="G69" s="41"/>
      <c r="H69" s="18" t="str">
        <f t="shared" si="0"/>
        <v/>
      </c>
      <c r="I69" s="52"/>
      <c r="K69" s="43"/>
      <c r="L69" s="48" t="str">
        <f t="shared" si="3"/>
        <v/>
      </c>
      <c r="M69" s="43"/>
      <c r="N69" s="43"/>
    </row>
    <row r="70" spans="2:14" x14ac:dyDescent="0.25">
      <c r="B70" s="14"/>
      <c r="C70" s="15"/>
      <c r="D70" s="15"/>
      <c r="E70" s="40"/>
      <c r="F70" s="40"/>
      <c r="G70" s="41"/>
      <c r="H70" s="18" t="str">
        <f t="shared" si="0"/>
        <v/>
      </c>
      <c r="K70" s="43"/>
      <c r="L70" s="48" t="str">
        <f t="shared" si="3"/>
        <v/>
      </c>
      <c r="M70" s="43"/>
      <c r="N70" s="43"/>
    </row>
    <row r="71" spans="2:14" x14ac:dyDescent="0.25">
      <c r="B71" s="14"/>
      <c r="C71" s="15"/>
      <c r="D71" s="15"/>
      <c r="E71" s="23"/>
      <c r="F71" s="23"/>
      <c r="G71" s="41"/>
      <c r="H71" s="18" t="str">
        <f t="shared" si="0"/>
        <v/>
      </c>
      <c r="I71" s="44"/>
      <c r="K71" s="43"/>
      <c r="L71" s="48" t="str">
        <f t="shared" si="3"/>
        <v/>
      </c>
      <c r="M71" s="43"/>
      <c r="N71" s="43"/>
    </row>
    <row r="72" spans="2:14" x14ac:dyDescent="0.25">
      <c r="B72" s="14"/>
      <c r="C72" s="15"/>
      <c r="D72" s="15"/>
      <c r="E72" s="23"/>
      <c r="F72" s="23"/>
      <c r="G72" s="41"/>
      <c r="H72" s="18" t="str">
        <f>IF(E72="","",F72*G72)</f>
        <v/>
      </c>
      <c r="I72" s="44"/>
      <c r="K72" s="43"/>
      <c r="L72" s="48" t="str">
        <f t="shared" si="3"/>
        <v/>
      </c>
      <c r="M72" s="43"/>
      <c r="N72" s="43"/>
    </row>
    <row r="73" spans="2:14" x14ac:dyDescent="0.25">
      <c r="B73" s="14"/>
      <c r="C73" s="15"/>
      <c r="D73" s="15"/>
      <c r="E73" s="23"/>
      <c r="F73" s="23"/>
      <c r="G73" s="41"/>
      <c r="H73" s="18" t="str">
        <f>IF(E73="","",F73*G73)</f>
        <v/>
      </c>
      <c r="I73" s="44"/>
      <c r="K73" s="43"/>
      <c r="L73" s="48" t="str">
        <f t="shared" si="3"/>
        <v/>
      </c>
      <c r="M73" s="43"/>
      <c r="N73" s="43"/>
    </row>
    <row r="74" spans="2:14" s="31" customFormat="1" ht="24.75" customHeight="1" x14ac:dyDescent="0.25">
      <c r="B74" s="164" t="str">
        <f>$B$12</f>
        <v>2/C13.2</v>
      </c>
      <c r="C74" s="33" t="s">
        <v>957</v>
      </c>
      <c r="D74" s="33"/>
      <c r="E74" s="34"/>
      <c r="F74" s="35"/>
      <c r="G74" s="34"/>
      <c r="H74" s="36">
        <f>SUM(H10:H73)</f>
        <v>224764</v>
      </c>
      <c r="I74" s="37"/>
      <c r="L74" s="36">
        <f>SUM(L10:L73)</f>
        <v>63714</v>
      </c>
    </row>
  </sheetData>
  <mergeCells count="4">
    <mergeCell ref="F2:H2"/>
    <mergeCell ref="B5:G5"/>
    <mergeCell ref="H5:H8"/>
    <mergeCell ref="B6:G8"/>
  </mergeCells>
  <dataValidations count="1">
    <dataValidation type="custom" allowBlank="1" showInputMessage="1" showErrorMessage="1" errorTitle="Invalid rate" error="A value with an invalid decimal part_x000a_was entered." sqref="G18:G32 G44:G46" xr:uid="{B903BD40-739A-46A9-9A4B-7A16AD5F9BF6}">
      <formula1>(G18)-TRUNC(G18,2)=0</formula1>
    </dataValidation>
  </dataValidations>
  <printOptions horizontalCentered="1"/>
  <pageMargins left="0.43307086614173229" right="0.31496062992125984" top="0.43307086614173229" bottom="0.62992125984251968" header="0.35433070866141736" footer="0.31496062992125984"/>
  <pageSetup paperSize="9" scale="79"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6ACA-5D95-4564-980E-187EC0DEE509}">
  <sheetPr>
    <tabColor rgb="FF92D050"/>
  </sheetPr>
  <dimension ref="A1:N75"/>
  <sheetViews>
    <sheetView view="pageBreakPreview" topLeftCell="A4" zoomScaleNormal="125" zoomScaleSheetLayoutView="100" zoomScalePageLayoutView="125" workbookViewId="0">
      <selection activeCell="L25" sqref="L25"/>
    </sheetView>
  </sheetViews>
  <sheetFormatPr defaultColWidth="6.6640625" defaultRowHeight="13.2" x14ac:dyDescent="0.25"/>
  <cols>
    <col min="1" max="1" width="0.6640625" style="1" customWidth="1"/>
    <col min="2" max="2" width="11.5546875" style="38" customWidth="1"/>
    <col min="3" max="3" width="45.5546875" style="3" customWidth="1"/>
    <col min="4" max="4" width="3.664062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0" width="6.6640625" style="1"/>
    <col min="11" max="11" width="7.44140625" style="1" bestFit="1" customWidth="1"/>
    <col min="12" max="12" width="10.6640625" style="1" bestFit="1" customWidth="1"/>
    <col min="13" max="16384" width="6.6640625" style="1"/>
  </cols>
  <sheetData>
    <row r="1" spans="1:14" x14ac:dyDescent="0.25">
      <c r="H1" s="234">
        <f>MAX(H9:H498)</f>
        <v>603750</v>
      </c>
    </row>
    <row r="2" spans="1:14" x14ac:dyDescent="0.25">
      <c r="B2" s="2" t="str">
        <f>Client1</f>
        <v>Province of KwaZulu-Natal</v>
      </c>
      <c r="F2" s="510" t="str">
        <f>"Contract No. "&amp;ContractNo</f>
        <v>Contract No. ZNB02215/00000/00/HOD/INF/23/T</v>
      </c>
      <c r="G2" s="510"/>
      <c r="H2" s="510"/>
      <c r="K2" s="402"/>
      <c r="L2" s="402">
        <f>MAX(L3:L243)</f>
        <v>12075</v>
      </c>
      <c r="M2" s="402"/>
      <c r="N2" s="403"/>
    </row>
    <row r="3" spans="1:14" x14ac:dyDescent="0.25">
      <c r="B3" s="96" t="str">
        <f>Client2</f>
        <v>Department of Transport</v>
      </c>
      <c r="K3" s="1" t="s">
        <v>1421</v>
      </c>
      <c r="L3" s="1" t="s">
        <v>1422</v>
      </c>
      <c r="M3" s="1" t="s">
        <v>1423</v>
      </c>
      <c r="N3" s="1" t="s">
        <v>1424</v>
      </c>
    </row>
    <row r="4" spans="1:14" x14ac:dyDescent="0.25">
      <c r="B4" s="84"/>
      <c r="C4" s="84"/>
      <c r="D4" s="84"/>
      <c r="E4" s="85"/>
      <c r="F4" s="85"/>
      <c r="G4" s="86"/>
      <c r="H4" s="98"/>
      <c r="K4" s="86"/>
      <c r="L4" s="86"/>
      <c r="M4" s="86"/>
      <c r="N4" s="86"/>
    </row>
    <row r="5" spans="1:14" x14ac:dyDescent="0.25">
      <c r="B5" s="507" t="s">
        <v>8</v>
      </c>
      <c r="C5" s="508"/>
      <c r="D5" s="508"/>
      <c r="E5" s="508"/>
      <c r="F5" s="508"/>
      <c r="G5" s="508"/>
      <c r="H5" s="519" t="str">
        <f>"CHAPTER "&amp;B12</f>
        <v>CHAPTER 2/C13.3</v>
      </c>
      <c r="I5" s="6"/>
    </row>
    <row r="6" spans="1:14" ht="7.5" customHeight="1" x14ac:dyDescent="0.25">
      <c r="B6" s="500" t="str">
        <f>ContractDescription</f>
        <v>UPGRADING OF MAIN ROAD P8/3 FROM GRAVEL TO BLACKTOP BETWEEN KM 17.560 AND KM 24.221 IN THE PIETERMARITZBURG REGION</v>
      </c>
      <c r="C6" s="501"/>
      <c r="D6" s="501"/>
      <c r="E6" s="501"/>
      <c r="F6" s="501"/>
      <c r="G6" s="501"/>
      <c r="H6" s="520"/>
      <c r="I6" s="9"/>
    </row>
    <row r="7" spans="1:14" ht="12.75" customHeight="1" x14ac:dyDescent="0.25">
      <c r="B7" s="500"/>
      <c r="C7" s="501"/>
      <c r="D7" s="501"/>
      <c r="E7" s="501"/>
      <c r="F7" s="501"/>
      <c r="G7" s="501"/>
      <c r="H7" s="520"/>
      <c r="I7" s="9"/>
    </row>
    <row r="8" spans="1:14" ht="7.5" customHeight="1" x14ac:dyDescent="0.25">
      <c r="B8" s="502"/>
      <c r="C8" s="503"/>
      <c r="D8" s="503"/>
      <c r="E8" s="503"/>
      <c r="F8" s="503"/>
      <c r="G8" s="503"/>
      <c r="H8" s="521"/>
      <c r="I8" s="9"/>
    </row>
    <row r="9" spans="1:14" s="10" customFormat="1" ht="25.2" customHeight="1" x14ac:dyDescent="0.25">
      <c r="B9" s="11" t="s">
        <v>0</v>
      </c>
      <c r="C9" s="12" t="s">
        <v>1</v>
      </c>
      <c r="D9" s="12" t="s">
        <v>1602</v>
      </c>
      <c r="E9" s="12" t="s">
        <v>2</v>
      </c>
      <c r="F9" s="12" t="s">
        <v>3</v>
      </c>
      <c r="G9" s="12" t="s">
        <v>4</v>
      </c>
      <c r="H9" s="12" t="s">
        <v>5</v>
      </c>
      <c r="I9" s="13"/>
      <c r="K9" s="12"/>
      <c r="L9" s="12"/>
      <c r="M9" s="12"/>
      <c r="N9" s="12"/>
    </row>
    <row r="10" spans="1:14" x14ac:dyDescent="0.25">
      <c r="A10" s="5"/>
      <c r="B10" s="53"/>
      <c r="C10" s="225" t="s">
        <v>1264</v>
      </c>
      <c r="D10" s="492"/>
      <c r="E10" s="16"/>
      <c r="F10" s="16"/>
      <c r="G10" s="17"/>
      <c r="H10" s="18" t="str">
        <f t="shared" ref="H10:H69" si="0">IF(E10="","",F10*G10)</f>
        <v/>
      </c>
      <c r="I10" s="19"/>
      <c r="K10" s="17"/>
      <c r="L10" s="17"/>
      <c r="M10" s="17"/>
      <c r="N10" s="17"/>
    </row>
    <row r="11" spans="1:14" x14ac:dyDescent="0.25">
      <c r="A11" s="5"/>
      <c r="B11" s="53"/>
      <c r="C11" s="15"/>
      <c r="D11" s="15"/>
      <c r="E11" s="16"/>
      <c r="F11" s="16"/>
      <c r="G11" s="17"/>
      <c r="H11" s="18"/>
      <c r="I11" s="19"/>
      <c r="K11" s="43"/>
      <c r="L11" s="43"/>
      <c r="M11" s="43"/>
      <c r="N11" s="43"/>
    </row>
    <row r="12" spans="1:14" x14ac:dyDescent="0.25">
      <c r="A12" s="5"/>
      <c r="B12" s="80" t="s">
        <v>1288</v>
      </c>
      <c r="C12" s="21" t="s">
        <v>419</v>
      </c>
      <c r="D12" s="23" t="s">
        <v>1602</v>
      </c>
      <c r="E12" s="23"/>
      <c r="F12" s="23"/>
      <c r="G12" s="43"/>
      <c r="H12" s="18" t="str">
        <f t="shared" si="0"/>
        <v/>
      </c>
      <c r="I12" s="44"/>
      <c r="K12" s="43"/>
      <c r="L12" s="43"/>
      <c r="M12" s="43"/>
      <c r="N12" s="43"/>
    </row>
    <row r="13" spans="1:14" x14ac:dyDescent="0.25">
      <c r="A13" s="5"/>
      <c r="B13" s="53"/>
      <c r="C13" s="15"/>
      <c r="D13" s="15"/>
      <c r="E13" s="23"/>
      <c r="F13" s="23"/>
      <c r="G13" s="43"/>
      <c r="H13" s="18" t="str">
        <f t="shared" si="0"/>
        <v/>
      </c>
      <c r="I13" s="44"/>
      <c r="K13" s="25"/>
      <c r="L13" s="48" t="str">
        <f t="shared" ref="L13:L46" si="1">IF(K13="","",K13*F13)</f>
        <v/>
      </c>
      <c r="M13" s="25"/>
      <c r="N13" s="25"/>
    </row>
    <row r="14" spans="1:14" x14ac:dyDescent="0.25">
      <c r="A14" s="5"/>
      <c r="B14" s="53" t="s">
        <v>1287</v>
      </c>
      <c r="C14" s="15" t="s">
        <v>420</v>
      </c>
      <c r="D14" s="15"/>
      <c r="E14" s="23"/>
      <c r="F14" s="23"/>
      <c r="G14" s="43"/>
      <c r="H14" s="18" t="str">
        <f t="shared" si="0"/>
        <v/>
      </c>
      <c r="I14" s="44"/>
      <c r="K14" s="43"/>
      <c r="L14" s="48" t="str">
        <f t="shared" si="1"/>
        <v/>
      </c>
      <c r="M14" s="43"/>
      <c r="N14" s="43"/>
    </row>
    <row r="15" spans="1:14" x14ac:dyDescent="0.25">
      <c r="A15" s="5"/>
      <c r="B15" s="53"/>
      <c r="C15" s="15"/>
      <c r="D15" s="15"/>
      <c r="E15" s="23"/>
      <c r="F15" s="23"/>
      <c r="G15" s="43"/>
      <c r="H15" s="18" t="str">
        <f t="shared" si="0"/>
        <v/>
      </c>
      <c r="I15" s="44"/>
      <c r="K15" s="43"/>
      <c r="L15" s="48" t="str">
        <f t="shared" si="1"/>
        <v/>
      </c>
      <c r="M15" s="43"/>
      <c r="N15" s="43"/>
    </row>
    <row r="16" spans="1:14" x14ac:dyDescent="0.25">
      <c r="A16" s="5"/>
      <c r="B16" s="53" t="s">
        <v>1289</v>
      </c>
      <c r="C16" s="15" t="s">
        <v>1222</v>
      </c>
      <c r="D16" s="15"/>
      <c r="E16" s="23"/>
      <c r="F16" s="24"/>
      <c r="G16" s="25"/>
      <c r="H16" s="18" t="str">
        <f t="shared" si="0"/>
        <v/>
      </c>
      <c r="I16" s="45"/>
      <c r="K16" s="43"/>
      <c r="L16" s="48" t="str">
        <f t="shared" si="1"/>
        <v/>
      </c>
      <c r="M16" s="43"/>
      <c r="N16" s="43"/>
    </row>
    <row r="17" spans="1:14" x14ac:dyDescent="0.25">
      <c r="A17" s="5"/>
      <c r="B17" s="53"/>
      <c r="C17" s="15"/>
      <c r="D17" s="15"/>
      <c r="E17" s="23"/>
      <c r="F17" s="24"/>
      <c r="G17" s="25"/>
      <c r="H17" s="18" t="str">
        <f t="shared" si="0"/>
        <v/>
      </c>
      <c r="I17" s="45"/>
      <c r="K17" s="43"/>
      <c r="L17" s="48" t="str">
        <f t="shared" si="1"/>
        <v/>
      </c>
      <c r="M17" s="43"/>
      <c r="N17" s="43"/>
    </row>
    <row r="18" spans="1:14" x14ac:dyDescent="0.25">
      <c r="A18" s="5"/>
      <c r="B18" s="53"/>
      <c r="C18" s="15" t="s">
        <v>1226</v>
      </c>
      <c r="D18" s="15"/>
      <c r="E18" s="23" t="s">
        <v>7</v>
      </c>
      <c r="F18" s="24">
        <v>6</v>
      </c>
      <c r="G18" s="25">
        <v>26250</v>
      </c>
      <c r="H18" s="18">
        <f t="shared" si="0"/>
        <v>157500</v>
      </c>
      <c r="I18" s="45"/>
      <c r="K18" s="43">
        <f>G18*2%</f>
        <v>525</v>
      </c>
      <c r="L18" s="48">
        <f t="shared" si="1"/>
        <v>3150</v>
      </c>
      <c r="M18" s="43"/>
      <c r="N18" s="43"/>
    </row>
    <row r="19" spans="1:14" x14ac:dyDescent="0.25">
      <c r="A19" s="5"/>
      <c r="B19" s="53"/>
      <c r="C19" s="15"/>
      <c r="D19" s="15"/>
      <c r="E19" s="23"/>
      <c r="F19" s="24"/>
      <c r="G19" s="25" t="s">
        <v>1556</v>
      </c>
      <c r="H19" s="18" t="str">
        <f t="shared" si="0"/>
        <v/>
      </c>
      <c r="I19" s="45"/>
      <c r="K19" s="43"/>
      <c r="L19" s="48" t="str">
        <f t="shared" si="1"/>
        <v/>
      </c>
      <c r="M19" s="43"/>
      <c r="N19" s="43"/>
    </row>
    <row r="20" spans="1:14" x14ac:dyDescent="0.25">
      <c r="A20" s="5"/>
      <c r="B20" s="53"/>
      <c r="C20" s="15" t="s">
        <v>1223</v>
      </c>
      <c r="D20" s="15"/>
      <c r="E20" s="23"/>
      <c r="G20" s="25" t="s">
        <v>1556</v>
      </c>
      <c r="H20" s="18" t="str">
        <f t="shared" si="0"/>
        <v/>
      </c>
      <c r="I20" s="45"/>
      <c r="K20" s="43"/>
      <c r="L20" s="48" t="str">
        <f t="shared" si="1"/>
        <v/>
      </c>
      <c r="M20" s="43"/>
      <c r="N20" s="43"/>
    </row>
    <row r="21" spans="1:14" x14ac:dyDescent="0.25">
      <c r="A21" s="5"/>
      <c r="B21" s="53"/>
      <c r="C21" s="15"/>
      <c r="D21" s="15"/>
      <c r="E21" s="23"/>
      <c r="G21" s="25" t="s">
        <v>1556</v>
      </c>
      <c r="H21" s="18" t="str">
        <f t="shared" si="0"/>
        <v/>
      </c>
      <c r="I21" s="45"/>
      <c r="K21" s="43"/>
      <c r="L21" s="48" t="str">
        <f t="shared" si="1"/>
        <v/>
      </c>
      <c r="M21" s="43"/>
      <c r="N21" s="43"/>
    </row>
    <row r="22" spans="1:14" x14ac:dyDescent="0.25">
      <c r="A22" s="5"/>
      <c r="B22" s="53"/>
      <c r="C22" s="15" t="s">
        <v>1226</v>
      </c>
      <c r="D22" s="15"/>
      <c r="E22" s="23" t="s">
        <v>7</v>
      </c>
      <c r="F22" s="24">
        <v>7</v>
      </c>
      <c r="G22" s="25">
        <v>26250</v>
      </c>
      <c r="H22" s="18">
        <f t="shared" si="0"/>
        <v>183750</v>
      </c>
      <c r="I22" s="44"/>
      <c r="K22" s="43">
        <f>G22*2%</f>
        <v>525</v>
      </c>
      <c r="L22" s="48">
        <f t="shared" si="1"/>
        <v>3675</v>
      </c>
      <c r="M22" s="43"/>
      <c r="N22" s="43"/>
    </row>
    <row r="23" spans="1:14" x14ac:dyDescent="0.25">
      <c r="A23" s="5"/>
      <c r="B23" s="53"/>
      <c r="C23" s="15"/>
      <c r="D23" s="15"/>
      <c r="E23" s="23"/>
      <c r="F23" s="24"/>
      <c r="G23" s="43" t="s">
        <v>1556</v>
      </c>
      <c r="H23" s="18" t="str">
        <f t="shared" si="0"/>
        <v/>
      </c>
      <c r="I23" s="44"/>
      <c r="K23" s="43"/>
      <c r="L23" s="48" t="str">
        <f t="shared" si="1"/>
        <v/>
      </c>
      <c r="M23" s="43"/>
      <c r="N23" s="43"/>
    </row>
    <row r="24" spans="1:14" x14ac:dyDescent="0.25">
      <c r="A24" s="5"/>
      <c r="B24" s="53"/>
      <c r="C24" s="15" t="s">
        <v>1224</v>
      </c>
      <c r="D24" s="15"/>
      <c r="E24" s="23"/>
      <c r="G24" s="46" t="s">
        <v>1556</v>
      </c>
      <c r="H24" s="18" t="str">
        <f t="shared" si="0"/>
        <v/>
      </c>
      <c r="I24" s="44"/>
      <c r="K24" s="43"/>
      <c r="L24" s="48" t="str">
        <f t="shared" si="1"/>
        <v/>
      </c>
      <c r="M24" s="43"/>
      <c r="N24" s="43"/>
    </row>
    <row r="25" spans="1:14" x14ac:dyDescent="0.25">
      <c r="A25" s="5"/>
      <c r="B25" s="53"/>
      <c r="C25" s="15"/>
      <c r="D25" s="15"/>
      <c r="E25" s="23"/>
      <c r="G25" s="46" t="s">
        <v>1556</v>
      </c>
      <c r="H25" s="18" t="str">
        <f t="shared" si="0"/>
        <v/>
      </c>
      <c r="I25" s="44"/>
      <c r="K25" s="43"/>
      <c r="L25" s="48" t="str">
        <f t="shared" si="1"/>
        <v/>
      </c>
      <c r="M25" s="43"/>
      <c r="N25" s="43"/>
    </row>
    <row r="26" spans="1:14" x14ac:dyDescent="0.25">
      <c r="A26" s="5"/>
      <c r="B26" s="53"/>
      <c r="C26" s="15" t="s">
        <v>1226</v>
      </c>
      <c r="D26" s="15"/>
      <c r="E26" s="23" t="s">
        <v>7</v>
      </c>
      <c r="F26" s="24">
        <v>1</v>
      </c>
      <c r="G26" s="25">
        <v>26250</v>
      </c>
      <c r="H26" s="18">
        <f t="shared" si="0"/>
        <v>26250</v>
      </c>
      <c r="K26" s="43">
        <f>G26*2%</f>
        <v>525</v>
      </c>
      <c r="L26" s="48">
        <f t="shared" si="1"/>
        <v>525</v>
      </c>
      <c r="M26" s="43"/>
      <c r="N26" s="43"/>
    </row>
    <row r="27" spans="1:14" x14ac:dyDescent="0.25">
      <c r="A27" s="5"/>
      <c r="B27" s="53"/>
      <c r="C27" s="1"/>
      <c r="D27" s="1"/>
      <c r="E27" s="23"/>
      <c r="F27" s="24"/>
      <c r="G27" s="48" t="s">
        <v>1556</v>
      </c>
      <c r="H27" s="18" t="str">
        <f t="shared" si="0"/>
        <v/>
      </c>
      <c r="K27" s="43"/>
      <c r="L27" s="48" t="str">
        <f t="shared" si="1"/>
        <v/>
      </c>
      <c r="M27" s="43"/>
      <c r="N27" s="43"/>
    </row>
    <row r="28" spans="1:14" x14ac:dyDescent="0.25">
      <c r="A28" s="5"/>
      <c r="B28" s="53"/>
      <c r="C28" s="15" t="s">
        <v>1225</v>
      </c>
      <c r="D28" s="15"/>
      <c r="E28" s="23"/>
      <c r="G28" s="41" t="s">
        <v>1556</v>
      </c>
      <c r="H28" s="18" t="str">
        <f t="shared" si="0"/>
        <v/>
      </c>
      <c r="K28" s="43"/>
      <c r="L28" s="48" t="str">
        <f t="shared" si="1"/>
        <v/>
      </c>
      <c r="M28" s="43"/>
      <c r="N28" s="43"/>
    </row>
    <row r="29" spans="1:14" x14ac:dyDescent="0.25">
      <c r="A29" s="5"/>
      <c r="B29" s="53"/>
      <c r="C29" s="15"/>
      <c r="D29" s="15"/>
      <c r="E29" s="23"/>
      <c r="F29" s="24"/>
      <c r="G29" s="48" t="s">
        <v>1556</v>
      </c>
      <c r="H29" s="18" t="str">
        <f t="shared" si="0"/>
        <v/>
      </c>
      <c r="K29" s="43"/>
      <c r="L29" s="48" t="str">
        <f t="shared" si="1"/>
        <v/>
      </c>
      <c r="M29" s="43"/>
      <c r="N29" s="43"/>
    </row>
    <row r="30" spans="1:14" x14ac:dyDescent="0.25">
      <c r="A30" s="5"/>
      <c r="B30" s="53"/>
      <c r="C30" s="15" t="s">
        <v>1226</v>
      </c>
      <c r="D30" s="15"/>
      <c r="E30" s="23" t="s">
        <v>7</v>
      </c>
      <c r="F30" s="24">
        <v>9</v>
      </c>
      <c r="G30" s="25">
        <v>26250</v>
      </c>
      <c r="H30" s="18">
        <f t="shared" si="0"/>
        <v>236250</v>
      </c>
      <c r="K30" s="43">
        <f>G30*2%</f>
        <v>525</v>
      </c>
      <c r="L30" s="48">
        <f t="shared" si="1"/>
        <v>4725</v>
      </c>
      <c r="M30" s="43"/>
      <c r="N30" s="43"/>
    </row>
    <row r="31" spans="1:14" x14ac:dyDescent="0.25">
      <c r="A31" s="5"/>
      <c r="B31" s="53"/>
      <c r="C31" s="15"/>
      <c r="D31" s="15"/>
      <c r="E31" s="23"/>
      <c r="F31" s="24"/>
      <c r="G31" s="48"/>
      <c r="H31" s="18" t="str">
        <f t="shared" si="0"/>
        <v/>
      </c>
      <c r="K31" s="43"/>
      <c r="L31" s="48" t="str">
        <f t="shared" si="1"/>
        <v/>
      </c>
      <c r="M31" s="43"/>
      <c r="N31" s="43"/>
    </row>
    <row r="32" spans="1:14" x14ac:dyDescent="0.25">
      <c r="A32" s="5"/>
      <c r="B32" s="53"/>
      <c r="C32" s="15"/>
      <c r="D32" s="15"/>
      <c r="E32" s="23"/>
      <c r="F32" s="24"/>
      <c r="G32" s="41"/>
      <c r="H32" s="18" t="str">
        <f>IF(E32="","",F36*G32)</f>
        <v/>
      </c>
      <c r="I32" s="45"/>
      <c r="K32" s="43"/>
      <c r="L32" s="48" t="str">
        <f t="shared" si="1"/>
        <v/>
      </c>
      <c r="M32" s="43"/>
      <c r="N32" s="43"/>
    </row>
    <row r="33" spans="1:14" x14ac:dyDescent="0.25">
      <c r="A33" s="5"/>
      <c r="B33" s="53"/>
      <c r="C33" s="15"/>
      <c r="D33" s="15"/>
      <c r="E33" s="23"/>
      <c r="F33" s="27"/>
      <c r="G33" s="30"/>
      <c r="H33" s="18"/>
      <c r="I33" s="19"/>
      <c r="K33" s="43"/>
      <c r="L33" s="48" t="str">
        <f t="shared" si="1"/>
        <v/>
      </c>
      <c r="M33" s="43"/>
      <c r="N33" s="43"/>
    </row>
    <row r="34" spans="1:14" s="39" customFormat="1" x14ac:dyDescent="0.25">
      <c r="A34" s="71"/>
      <c r="B34" s="53"/>
      <c r="C34" s="15"/>
      <c r="D34" s="15"/>
      <c r="E34" s="16"/>
      <c r="F34" s="27"/>
      <c r="G34" s="30"/>
      <c r="H34" s="18"/>
      <c r="I34" s="19"/>
      <c r="J34" s="1"/>
      <c r="K34" s="43"/>
      <c r="L34" s="48" t="str">
        <f t="shared" si="1"/>
        <v/>
      </c>
      <c r="M34" s="43"/>
      <c r="N34" s="43"/>
    </row>
    <row r="35" spans="1:14" x14ac:dyDescent="0.25">
      <c r="A35" s="5"/>
      <c r="B35" s="53"/>
      <c r="C35" s="15"/>
      <c r="D35" s="15"/>
      <c r="E35" s="23"/>
      <c r="F35" s="24"/>
      <c r="G35" s="41"/>
      <c r="H35" s="18" t="str">
        <f t="shared" si="0"/>
        <v/>
      </c>
      <c r="I35" s="45"/>
      <c r="K35" s="43"/>
      <c r="L35" s="48" t="str">
        <f t="shared" si="1"/>
        <v/>
      </c>
      <c r="M35" s="43"/>
      <c r="N35" s="43"/>
    </row>
    <row r="36" spans="1:14" x14ac:dyDescent="0.25">
      <c r="A36" s="5"/>
      <c r="B36" s="53"/>
      <c r="C36" s="15"/>
      <c r="D36" s="15"/>
      <c r="E36" s="23"/>
      <c r="F36" s="24"/>
      <c r="G36" s="41"/>
      <c r="H36" s="18" t="str">
        <f t="shared" si="0"/>
        <v/>
      </c>
      <c r="I36" s="45"/>
      <c r="K36" s="43"/>
      <c r="L36" s="48" t="str">
        <f t="shared" si="1"/>
        <v/>
      </c>
      <c r="M36" s="43"/>
      <c r="N36" s="43"/>
    </row>
    <row r="37" spans="1:14" x14ac:dyDescent="0.25">
      <c r="A37" s="5"/>
      <c r="B37" s="53"/>
      <c r="C37" s="15"/>
      <c r="D37" s="15"/>
      <c r="E37" s="23"/>
      <c r="F37" s="24"/>
      <c r="G37" s="50"/>
      <c r="H37" s="18" t="str">
        <f t="shared" si="0"/>
        <v/>
      </c>
      <c r="I37" s="44"/>
      <c r="K37" s="43"/>
      <c r="L37" s="48" t="str">
        <f t="shared" si="1"/>
        <v/>
      </c>
      <c r="M37" s="43"/>
      <c r="N37" s="43"/>
    </row>
    <row r="38" spans="1:14" x14ac:dyDescent="0.25">
      <c r="A38" s="5"/>
      <c r="B38" s="53"/>
      <c r="C38" s="15"/>
      <c r="D38" s="15"/>
      <c r="E38" s="23"/>
      <c r="F38" s="24"/>
      <c r="G38" s="50"/>
      <c r="H38" s="18" t="str">
        <f t="shared" si="0"/>
        <v/>
      </c>
      <c r="I38" s="44"/>
      <c r="K38" s="43"/>
      <c r="L38" s="48" t="str">
        <f t="shared" si="1"/>
        <v/>
      </c>
      <c r="M38" s="43"/>
      <c r="N38" s="43"/>
    </row>
    <row r="39" spans="1:14" x14ac:dyDescent="0.25">
      <c r="A39" s="5"/>
      <c r="B39" s="53"/>
      <c r="C39" s="15"/>
      <c r="D39" s="15"/>
      <c r="E39" s="23"/>
      <c r="F39" s="24"/>
      <c r="G39" s="46"/>
      <c r="H39" s="18" t="str">
        <f t="shared" si="0"/>
        <v/>
      </c>
      <c r="I39" s="44"/>
      <c r="K39" s="43"/>
      <c r="L39" s="48" t="str">
        <f t="shared" si="1"/>
        <v/>
      </c>
      <c r="M39" s="43"/>
      <c r="N39" s="43"/>
    </row>
    <row r="40" spans="1:14" x14ac:dyDescent="0.25">
      <c r="A40" s="5"/>
      <c r="B40" s="53"/>
      <c r="C40" s="15"/>
      <c r="D40" s="15"/>
      <c r="E40" s="23"/>
      <c r="F40" s="24"/>
      <c r="G40" s="46"/>
      <c r="H40" s="18" t="str">
        <f t="shared" si="0"/>
        <v/>
      </c>
      <c r="I40" s="44"/>
      <c r="K40" s="43"/>
      <c r="L40" s="48" t="str">
        <f t="shared" si="1"/>
        <v/>
      </c>
      <c r="M40" s="43"/>
      <c r="N40" s="43"/>
    </row>
    <row r="41" spans="1:14" x14ac:dyDescent="0.25">
      <c r="A41" s="5"/>
      <c r="B41" s="53"/>
      <c r="C41" s="15"/>
      <c r="D41" s="15"/>
      <c r="E41" s="23"/>
      <c r="F41" s="23"/>
      <c r="G41" s="43"/>
      <c r="H41" s="18" t="str">
        <f t="shared" si="0"/>
        <v/>
      </c>
      <c r="I41" s="44"/>
      <c r="K41" s="43"/>
      <c r="L41" s="48" t="str">
        <f t="shared" si="1"/>
        <v/>
      </c>
      <c r="M41" s="43"/>
      <c r="N41" s="43"/>
    </row>
    <row r="42" spans="1:14" x14ac:dyDescent="0.25">
      <c r="A42" s="5"/>
      <c r="B42" s="53"/>
      <c r="C42" s="15"/>
      <c r="D42" s="15"/>
      <c r="E42" s="23"/>
      <c r="F42" s="23"/>
      <c r="G42" s="43"/>
      <c r="H42" s="18" t="str">
        <f t="shared" si="0"/>
        <v/>
      </c>
      <c r="I42" s="44"/>
      <c r="K42" s="43"/>
      <c r="L42" s="48" t="str">
        <f t="shared" si="1"/>
        <v/>
      </c>
      <c r="M42" s="43"/>
      <c r="N42" s="43"/>
    </row>
    <row r="43" spans="1:14" x14ac:dyDescent="0.25">
      <c r="A43" s="5"/>
      <c r="B43" s="53"/>
      <c r="C43" s="15"/>
      <c r="D43" s="15"/>
      <c r="E43" s="23"/>
      <c r="F43" s="23"/>
      <c r="G43" s="41"/>
      <c r="H43" s="18" t="str">
        <f t="shared" si="0"/>
        <v/>
      </c>
      <c r="I43" s="44"/>
      <c r="K43" s="43"/>
      <c r="L43" s="48" t="str">
        <f t="shared" si="1"/>
        <v/>
      </c>
      <c r="M43" s="43"/>
      <c r="N43" s="43"/>
    </row>
    <row r="44" spans="1:14" x14ac:dyDescent="0.25">
      <c r="A44" s="5"/>
      <c r="B44" s="53"/>
      <c r="C44" s="15"/>
      <c r="D44" s="15"/>
      <c r="E44" s="23"/>
      <c r="F44" s="23"/>
      <c r="G44" s="41"/>
      <c r="H44" s="18" t="str">
        <f t="shared" si="0"/>
        <v/>
      </c>
      <c r="I44" s="44"/>
      <c r="K44" s="43"/>
      <c r="L44" s="48" t="str">
        <f t="shared" si="1"/>
        <v/>
      </c>
      <c r="M44" s="43"/>
      <c r="N44" s="43"/>
    </row>
    <row r="45" spans="1:14" x14ac:dyDescent="0.25">
      <c r="A45" s="5"/>
      <c r="B45" s="53"/>
      <c r="C45" s="15"/>
      <c r="D45" s="15"/>
      <c r="E45" s="23"/>
      <c r="F45" s="23"/>
      <c r="G45" s="41"/>
      <c r="H45" s="18" t="str">
        <f t="shared" si="0"/>
        <v/>
      </c>
      <c r="I45" s="44"/>
      <c r="K45" s="43"/>
      <c r="L45" s="48" t="str">
        <f t="shared" si="1"/>
        <v/>
      </c>
      <c r="M45" s="43"/>
      <c r="N45" s="43"/>
    </row>
    <row r="46" spans="1:14" x14ac:dyDescent="0.25">
      <c r="A46" s="5"/>
      <c r="B46" s="53"/>
      <c r="C46" s="15"/>
      <c r="D46" s="15"/>
      <c r="E46" s="23"/>
      <c r="F46" s="23"/>
      <c r="G46" s="41"/>
      <c r="H46" s="18" t="str">
        <f t="shared" si="0"/>
        <v/>
      </c>
      <c r="I46" s="44"/>
      <c r="K46" s="43"/>
      <c r="L46" s="48" t="str">
        <f t="shared" si="1"/>
        <v/>
      </c>
      <c r="M46" s="43"/>
      <c r="N46" s="43"/>
    </row>
    <row r="47" spans="1:14" x14ac:dyDescent="0.25">
      <c r="A47" s="5"/>
      <c r="B47" s="53"/>
      <c r="C47" s="15"/>
      <c r="D47" s="15"/>
      <c r="E47" s="23"/>
      <c r="F47" s="23"/>
      <c r="G47" s="41"/>
      <c r="H47" s="18" t="str">
        <f t="shared" si="0"/>
        <v/>
      </c>
      <c r="I47" s="44"/>
      <c r="K47" s="43"/>
      <c r="L47" s="48" t="str">
        <f t="shared" ref="L47:L74" si="2">IF(K47="","",K47*F47)</f>
        <v/>
      </c>
      <c r="M47" s="43"/>
      <c r="N47" s="43"/>
    </row>
    <row r="48" spans="1:14" x14ac:dyDescent="0.25">
      <c r="A48" s="5"/>
      <c r="B48" s="53"/>
      <c r="C48" s="15"/>
      <c r="D48" s="15"/>
      <c r="E48" s="23"/>
      <c r="F48" s="23"/>
      <c r="G48" s="41"/>
      <c r="H48" s="18" t="str">
        <f t="shared" si="0"/>
        <v/>
      </c>
      <c r="I48" s="44"/>
      <c r="K48" s="43"/>
      <c r="L48" s="48" t="str">
        <f t="shared" si="2"/>
        <v/>
      </c>
      <c r="M48" s="43"/>
      <c r="N48" s="43"/>
    </row>
    <row r="49" spans="1:14" x14ac:dyDescent="0.25">
      <c r="A49" s="5"/>
      <c r="B49" s="53"/>
      <c r="C49" s="15"/>
      <c r="D49" s="15"/>
      <c r="E49" s="23"/>
      <c r="F49" s="23"/>
      <c r="G49" s="41"/>
      <c r="H49" s="18" t="str">
        <f t="shared" si="0"/>
        <v/>
      </c>
      <c r="I49" s="44"/>
      <c r="K49" s="43"/>
      <c r="L49" s="48" t="str">
        <f t="shared" si="2"/>
        <v/>
      </c>
      <c r="M49" s="43"/>
      <c r="N49" s="43"/>
    </row>
    <row r="50" spans="1:14" x14ac:dyDescent="0.25">
      <c r="A50" s="5"/>
      <c r="B50" s="53"/>
      <c r="C50" s="15"/>
      <c r="D50" s="15"/>
      <c r="E50" s="23"/>
      <c r="F50" s="23"/>
      <c r="G50" s="41"/>
      <c r="H50" s="18" t="str">
        <f t="shared" si="0"/>
        <v/>
      </c>
      <c r="I50" s="44"/>
      <c r="K50" s="43"/>
      <c r="L50" s="48" t="str">
        <f t="shared" si="2"/>
        <v/>
      </c>
      <c r="M50" s="43"/>
      <c r="N50" s="43"/>
    </row>
    <row r="51" spans="1:14" x14ac:dyDescent="0.25">
      <c r="A51" s="5"/>
      <c r="B51" s="53"/>
      <c r="C51" s="15"/>
      <c r="D51" s="15"/>
      <c r="E51" s="23"/>
      <c r="F51" s="23"/>
      <c r="G51" s="51"/>
      <c r="H51" s="18" t="str">
        <f t="shared" si="0"/>
        <v/>
      </c>
      <c r="I51" s="44"/>
      <c r="K51" s="43"/>
      <c r="L51" s="48" t="str">
        <f t="shared" si="2"/>
        <v/>
      </c>
      <c r="M51" s="43"/>
      <c r="N51" s="43"/>
    </row>
    <row r="52" spans="1:14" x14ac:dyDescent="0.25">
      <c r="A52" s="5"/>
      <c r="B52" s="53"/>
      <c r="C52" s="15"/>
      <c r="D52" s="15"/>
      <c r="E52" s="23"/>
      <c r="F52" s="23"/>
      <c r="G52" s="51"/>
      <c r="H52" s="18" t="str">
        <f t="shared" si="0"/>
        <v/>
      </c>
      <c r="I52" s="44"/>
      <c r="K52" s="43"/>
      <c r="L52" s="48" t="str">
        <f t="shared" si="2"/>
        <v/>
      </c>
      <c r="M52" s="43"/>
      <c r="N52" s="43"/>
    </row>
    <row r="53" spans="1:14" x14ac:dyDescent="0.25">
      <c r="A53" s="5"/>
      <c r="B53" s="53"/>
      <c r="C53" s="15"/>
      <c r="D53" s="15"/>
      <c r="E53" s="23"/>
      <c r="F53" s="23"/>
      <c r="G53" s="41"/>
      <c r="H53" s="18" t="str">
        <f t="shared" si="0"/>
        <v/>
      </c>
      <c r="I53" s="44"/>
      <c r="K53" s="43"/>
      <c r="L53" s="48" t="str">
        <f t="shared" si="2"/>
        <v/>
      </c>
      <c r="M53" s="43"/>
      <c r="N53" s="43"/>
    </row>
    <row r="54" spans="1:14" x14ac:dyDescent="0.25">
      <c r="A54" s="5"/>
      <c r="B54" s="53"/>
      <c r="C54" s="15"/>
      <c r="D54" s="15"/>
      <c r="E54" s="23"/>
      <c r="F54" s="23"/>
      <c r="G54" s="41"/>
      <c r="H54" s="18" t="str">
        <f t="shared" si="0"/>
        <v/>
      </c>
      <c r="I54" s="44"/>
      <c r="K54" s="43"/>
      <c r="L54" s="48" t="str">
        <f t="shared" si="2"/>
        <v/>
      </c>
      <c r="M54" s="43"/>
      <c r="N54" s="43"/>
    </row>
    <row r="55" spans="1:14" x14ac:dyDescent="0.25">
      <c r="A55" s="5"/>
      <c r="B55" s="53"/>
      <c r="C55" s="15"/>
      <c r="D55" s="15"/>
      <c r="E55" s="23"/>
      <c r="F55" s="23"/>
      <c r="G55" s="41"/>
      <c r="H55" s="18" t="str">
        <f t="shared" si="0"/>
        <v/>
      </c>
      <c r="I55" s="44"/>
      <c r="K55" s="43"/>
      <c r="L55" s="48" t="str">
        <f t="shared" si="2"/>
        <v/>
      </c>
      <c r="M55" s="43"/>
      <c r="N55" s="43"/>
    </row>
    <row r="56" spans="1:14" x14ac:dyDescent="0.25">
      <c r="A56" s="5"/>
      <c r="B56" s="53"/>
      <c r="C56" s="15"/>
      <c r="D56" s="15"/>
      <c r="E56" s="23"/>
      <c r="F56" s="23"/>
      <c r="G56" s="41"/>
      <c r="H56" s="18" t="str">
        <f t="shared" si="0"/>
        <v/>
      </c>
      <c r="I56" s="44"/>
      <c r="K56" s="43"/>
      <c r="L56" s="48" t="str">
        <f t="shared" si="2"/>
        <v/>
      </c>
      <c r="M56" s="43"/>
      <c r="N56" s="43"/>
    </row>
    <row r="57" spans="1:14" x14ac:dyDescent="0.25">
      <c r="A57" s="5"/>
      <c r="B57" s="53"/>
      <c r="C57" s="15"/>
      <c r="D57" s="15"/>
      <c r="E57" s="40"/>
      <c r="F57" s="40"/>
      <c r="G57" s="41"/>
      <c r="H57" s="18" t="str">
        <f t="shared" si="0"/>
        <v/>
      </c>
      <c r="K57" s="43"/>
      <c r="L57" s="48" t="str">
        <f t="shared" si="2"/>
        <v/>
      </c>
      <c r="M57" s="43"/>
      <c r="N57" s="43"/>
    </row>
    <row r="58" spans="1:14" x14ac:dyDescent="0.25">
      <c r="A58" s="5"/>
      <c r="B58" s="53"/>
      <c r="C58" s="15"/>
      <c r="D58" s="15"/>
      <c r="E58" s="23"/>
      <c r="F58" s="23"/>
      <c r="G58" s="41"/>
      <c r="H58" s="18" t="str">
        <f t="shared" si="0"/>
        <v/>
      </c>
      <c r="I58" s="44"/>
      <c r="K58" s="43"/>
      <c r="L58" s="48" t="str">
        <f t="shared" si="2"/>
        <v/>
      </c>
      <c r="M58" s="43"/>
      <c r="N58" s="43"/>
    </row>
    <row r="59" spans="1:14" x14ac:dyDescent="0.25">
      <c r="A59" s="5"/>
      <c r="B59" s="53"/>
      <c r="C59" s="15"/>
      <c r="D59" s="15"/>
      <c r="E59" s="40"/>
      <c r="F59" s="40"/>
      <c r="G59" s="41"/>
      <c r="H59" s="18" t="str">
        <f t="shared" si="0"/>
        <v/>
      </c>
      <c r="I59" s="52"/>
      <c r="K59" s="43"/>
      <c r="L59" s="48" t="str">
        <f t="shared" si="2"/>
        <v/>
      </c>
      <c r="M59" s="43"/>
      <c r="N59" s="43"/>
    </row>
    <row r="60" spans="1:14" x14ac:dyDescent="0.25">
      <c r="A60" s="5"/>
      <c r="B60" s="53"/>
      <c r="C60" s="15"/>
      <c r="D60" s="15"/>
      <c r="E60" s="40"/>
      <c r="F60" s="40"/>
      <c r="G60" s="41"/>
      <c r="H60" s="18" t="str">
        <f t="shared" si="0"/>
        <v/>
      </c>
      <c r="K60" s="43"/>
      <c r="L60" s="48" t="str">
        <f t="shared" si="2"/>
        <v/>
      </c>
      <c r="M60" s="43"/>
      <c r="N60" s="43"/>
    </row>
    <row r="61" spans="1:14" x14ac:dyDescent="0.25">
      <c r="A61" s="5"/>
      <c r="B61" s="53"/>
      <c r="C61" s="15"/>
      <c r="D61" s="15"/>
      <c r="E61" s="23"/>
      <c r="F61" s="23"/>
      <c r="G61" s="41"/>
      <c r="H61" s="18" t="str">
        <f t="shared" si="0"/>
        <v/>
      </c>
      <c r="I61" s="44"/>
      <c r="K61" s="43"/>
      <c r="L61" s="48" t="str">
        <f t="shared" si="2"/>
        <v/>
      </c>
      <c r="M61" s="43"/>
      <c r="N61" s="43"/>
    </row>
    <row r="62" spans="1:14" x14ac:dyDescent="0.25">
      <c r="A62" s="5"/>
      <c r="B62" s="53"/>
      <c r="C62" s="15"/>
      <c r="D62" s="15"/>
      <c r="E62" s="23"/>
      <c r="F62" s="23"/>
      <c r="G62" s="41"/>
      <c r="H62" s="18" t="str">
        <f t="shared" si="0"/>
        <v/>
      </c>
      <c r="I62" s="44"/>
      <c r="K62" s="43"/>
      <c r="L62" s="48" t="str">
        <f t="shared" si="2"/>
        <v/>
      </c>
      <c r="M62" s="43"/>
      <c r="N62" s="43"/>
    </row>
    <row r="63" spans="1:14" x14ac:dyDescent="0.25">
      <c r="A63" s="5"/>
      <c r="B63" s="53"/>
      <c r="C63" s="15"/>
      <c r="D63" s="15"/>
      <c r="E63" s="23"/>
      <c r="F63" s="23"/>
      <c r="G63" s="41"/>
      <c r="H63" s="18" t="str">
        <f t="shared" si="0"/>
        <v/>
      </c>
      <c r="I63" s="44"/>
      <c r="K63" s="43"/>
      <c r="L63" s="48" t="str">
        <f t="shared" si="2"/>
        <v/>
      </c>
      <c r="M63" s="43"/>
      <c r="N63" s="43"/>
    </row>
    <row r="64" spans="1:14" x14ac:dyDescent="0.25">
      <c r="A64" s="5"/>
      <c r="B64" s="53"/>
      <c r="C64" s="15"/>
      <c r="D64" s="15"/>
      <c r="E64" s="23"/>
      <c r="F64" s="23"/>
      <c r="G64" s="41"/>
      <c r="H64" s="18" t="str">
        <f t="shared" si="0"/>
        <v/>
      </c>
      <c r="I64" s="44"/>
      <c r="K64" s="43"/>
      <c r="L64" s="48" t="str">
        <f t="shared" si="2"/>
        <v/>
      </c>
      <c r="M64" s="43"/>
      <c r="N64" s="43"/>
    </row>
    <row r="65" spans="1:14" x14ac:dyDescent="0.25">
      <c r="A65" s="5"/>
      <c r="B65" s="53"/>
      <c r="C65" s="15"/>
      <c r="D65" s="15"/>
      <c r="E65" s="23"/>
      <c r="F65" s="23"/>
      <c r="G65" s="41"/>
      <c r="H65" s="18" t="str">
        <f t="shared" si="0"/>
        <v/>
      </c>
      <c r="I65" s="44"/>
      <c r="K65" s="43"/>
      <c r="L65" s="48" t="str">
        <f t="shared" si="2"/>
        <v/>
      </c>
      <c r="M65" s="43"/>
      <c r="N65" s="43"/>
    </row>
    <row r="66" spans="1:14" x14ac:dyDescent="0.25">
      <c r="A66" s="5"/>
      <c r="B66" s="53"/>
      <c r="C66" s="15"/>
      <c r="D66" s="15"/>
      <c r="E66" s="23"/>
      <c r="F66" s="23"/>
      <c r="G66" s="41"/>
      <c r="H66" s="18" t="str">
        <f t="shared" si="0"/>
        <v/>
      </c>
      <c r="I66" s="44"/>
      <c r="K66" s="43"/>
      <c r="L66" s="48" t="str">
        <f t="shared" si="2"/>
        <v/>
      </c>
      <c r="M66" s="43"/>
      <c r="N66" s="43"/>
    </row>
    <row r="67" spans="1:14" x14ac:dyDescent="0.25">
      <c r="A67" s="5"/>
      <c r="B67" s="53"/>
      <c r="C67" s="15"/>
      <c r="D67" s="15"/>
      <c r="E67" s="23"/>
      <c r="F67" s="23"/>
      <c r="G67" s="41"/>
      <c r="H67" s="18" t="str">
        <f t="shared" si="0"/>
        <v/>
      </c>
      <c r="I67" s="44"/>
      <c r="K67" s="43"/>
      <c r="L67" s="48" t="str">
        <f t="shared" si="2"/>
        <v/>
      </c>
      <c r="M67" s="43"/>
      <c r="N67" s="43"/>
    </row>
    <row r="68" spans="1:14" x14ac:dyDescent="0.25">
      <c r="A68" s="5"/>
      <c r="B68" s="53"/>
      <c r="C68" s="15"/>
      <c r="D68" s="15"/>
      <c r="E68" s="23"/>
      <c r="F68" s="23"/>
      <c r="G68" s="41"/>
      <c r="H68" s="18" t="str">
        <f t="shared" si="0"/>
        <v/>
      </c>
      <c r="I68" s="44"/>
      <c r="K68" s="43"/>
      <c r="L68" s="48" t="str">
        <f t="shared" si="2"/>
        <v/>
      </c>
      <c r="M68" s="43"/>
      <c r="N68" s="43"/>
    </row>
    <row r="69" spans="1:14" x14ac:dyDescent="0.25">
      <c r="A69" s="5"/>
      <c r="B69" s="53"/>
      <c r="C69" s="15"/>
      <c r="D69" s="15"/>
      <c r="E69" s="23"/>
      <c r="F69" s="23"/>
      <c r="G69" s="41"/>
      <c r="H69" s="18" t="str">
        <f t="shared" si="0"/>
        <v/>
      </c>
      <c r="I69" s="44"/>
      <c r="K69" s="43"/>
      <c r="L69" s="48" t="str">
        <f t="shared" si="2"/>
        <v/>
      </c>
      <c r="M69" s="43"/>
      <c r="N69" s="43"/>
    </row>
    <row r="70" spans="1:14" x14ac:dyDescent="0.25">
      <c r="A70" s="5"/>
      <c r="B70" s="53"/>
      <c r="C70" s="15"/>
      <c r="D70" s="15"/>
      <c r="E70" s="23"/>
      <c r="F70" s="23"/>
      <c r="G70" s="41"/>
      <c r="H70" s="18"/>
      <c r="I70" s="44"/>
      <c r="K70" s="43"/>
      <c r="L70" s="48" t="str">
        <f t="shared" si="2"/>
        <v/>
      </c>
      <c r="M70" s="43"/>
      <c r="N70" s="43"/>
    </row>
    <row r="71" spans="1:14" x14ac:dyDescent="0.25">
      <c r="A71" s="5"/>
      <c r="B71" s="53"/>
      <c r="C71" s="15"/>
      <c r="D71" s="15"/>
      <c r="E71" s="23"/>
      <c r="F71" s="23"/>
      <c r="G71" s="41"/>
      <c r="H71" s="18" t="str">
        <f>IF(E71="","",F71*G71)</f>
        <v/>
      </c>
      <c r="I71" s="44"/>
      <c r="K71" s="43"/>
      <c r="L71" s="48" t="str">
        <f t="shared" si="2"/>
        <v/>
      </c>
      <c r="M71" s="43"/>
      <c r="N71" s="43"/>
    </row>
    <row r="72" spans="1:14" x14ac:dyDescent="0.25">
      <c r="A72" s="5"/>
      <c r="B72" s="53"/>
      <c r="C72" s="15"/>
      <c r="D72" s="15"/>
      <c r="E72" s="23"/>
      <c r="F72" s="23"/>
      <c r="G72" s="41"/>
      <c r="H72" s="18" t="str">
        <f>IF(E72="","",F72*G72)</f>
        <v/>
      </c>
      <c r="I72" s="44"/>
      <c r="K72" s="43"/>
      <c r="L72" s="48" t="str">
        <f t="shared" si="2"/>
        <v/>
      </c>
      <c r="M72" s="43"/>
      <c r="N72" s="43"/>
    </row>
    <row r="73" spans="1:14" x14ac:dyDescent="0.25">
      <c r="A73" s="5"/>
      <c r="B73" s="53"/>
      <c r="C73" s="15"/>
      <c r="D73" s="15"/>
      <c r="E73" s="23"/>
      <c r="F73" s="23"/>
      <c r="G73" s="41"/>
      <c r="H73" s="18" t="str">
        <f>IF(E73="","",F73*G73)</f>
        <v/>
      </c>
      <c r="I73" s="44"/>
      <c r="K73" s="43"/>
      <c r="L73" s="48" t="str">
        <f t="shared" si="2"/>
        <v/>
      </c>
      <c r="M73" s="43"/>
      <c r="N73" s="43"/>
    </row>
    <row r="74" spans="1:14" x14ac:dyDescent="0.25">
      <c r="A74" s="5"/>
      <c r="B74" s="53"/>
      <c r="C74" s="15"/>
      <c r="D74" s="15"/>
      <c r="E74" s="23"/>
      <c r="F74" s="23"/>
      <c r="G74" s="41"/>
      <c r="H74" s="18" t="str">
        <f>IF(E74="","",F74*G74)</f>
        <v/>
      </c>
      <c r="I74" s="44"/>
      <c r="K74" s="43"/>
      <c r="L74" s="48" t="str">
        <f t="shared" si="2"/>
        <v/>
      </c>
      <c r="M74" s="43"/>
      <c r="N74" s="43"/>
    </row>
    <row r="75" spans="1:14" s="31" customFormat="1" ht="24.75" customHeight="1" x14ac:dyDescent="0.25">
      <c r="B75" s="164" t="str">
        <f>$B$12</f>
        <v>2/C13.3</v>
      </c>
      <c r="C75" s="33" t="s">
        <v>957</v>
      </c>
      <c r="D75" s="33"/>
      <c r="E75" s="34"/>
      <c r="F75" s="35"/>
      <c r="G75" s="34"/>
      <c r="H75" s="36">
        <f>SUM(H10:H74)</f>
        <v>603750</v>
      </c>
      <c r="I75" s="37"/>
      <c r="L75" s="36">
        <f>SUM(L10:L74)</f>
        <v>12075</v>
      </c>
    </row>
  </sheetData>
  <mergeCells count="4">
    <mergeCell ref="F2:H2"/>
    <mergeCell ref="B5:G5"/>
    <mergeCell ref="H5:H8"/>
    <mergeCell ref="B6:G8"/>
  </mergeCells>
  <printOptions horizontalCentered="1"/>
  <pageMargins left="0.43307086614173229" right="0.31496062992125984" top="0.43307086614173229" bottom="0.62992125984251968" header="0.35433070866141736" footer="0.31496062992125984"/>
  <pageSetup paperSize="9" scale="79"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2331D-DEFA-4E41-867F-EBAAE4086677}">
  <sheetPr>
    <tabColor rgb="FF92D050"/>
  </sheetPr>
  <dimension ref="B1:N67"/>
  <sheetViews>
    <sheetView view="pageBreakPreview" zoomScaleNormal="125" zoomScaleSheetLayoutView="100" zoomScalePageLayoutView="125" workbookViewId="0">
      <selection activeCell="L25" sqref="L25"/>
    </sheetView>
  </sheetViews>
  <sheetFormatPr defaultColWidth="6.6640625" defaultRowHeight="13.2" x14ac:dyDescent="0.25"/>
  <cols>
    <col min="1" max="1" width="0.6640625" style="1" customWidth="1"/>
    <col min="2" max="2" width="11.5546875" style="38" customWidth="1"/>
    <col min="3" max="3" width="45.5546875" style="3" customWidth="1"/>
    <col min="4" max="4" width="3.554687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1" width="6.6640625" style="1"/>
    <col min="12" max="12" width="10.6640625" style="1" bestFit="1" customWidth="1"/>
    <col min="13" max="16384" width="6.6640625" style="1"/>
  </cols>
  <sheetData>
    <row r="1" spans="2:14" x14ac:dyDescent="0.25">
      <c r="H1" s="234">
        <f>MAX(H9:H500)</f>
        <v>514500</v>
      </c>
    </row>
    <row r="2" spans="2:14" x14ac:dyDescent="0.25">
      <c r="B2" s="2" t="str">
        <f>Client1</f>
        <v>Province of KwaZulu-Natal</v>
      </c>
      <c r="F2" s="510" t="str">
        <f>"Contract No. "&amp;ContractNo</f>
        <v>Contract No. ZNB02215/00000/00/HOD/INF/23/T</v>
      </c>
      <c r="G2" s="510"/>
      <c r="H2" s="510"/>
      <c r="K2" s="402"/>
      <c r="L2" s="402">
        <f>MAX(L3:L245)</f>
        <v>48720</v>
      </c>
      <c r="M2" s="402"/>
      <c r="N2" s="403"/>
    </row>
    <row r="3" spans="2:14" x14ac:dyDescent="0.25">
      <c r="B3" s="96" t="str">
        <f>Client2</f>
        <v>Department of Transport</v>
      </c>
      <c r="K3" s="1" t="s">
        <v>1421</v>
      </c>
      <c r="L3" s="1" t="s">
        <v>1422</v>
      </c>
      <c r="M3" s="1" t="s">
        <v>1423</v>
      </c>
      <c r="N3" s="1" t="s">
        <v>1424</v>
      </c>
    </row>
    <row r="4" spans="2:14" x14ac:dyDescent="0.25">
      <c r="B4" s="84"/>
      <c r="C4" s="84"/>
      <c r="D4" s="84"/>
      <c r="E4" s="85"/>
      <c r="F4" s="85"/>
      <c r="G4" s="86"/>
      <c r="H4" s="98"/>
      <c r="K4" s="86"/>
      <c r="L4" s="86"/>
      <c r="M4" s="86"/>
      <c r="N4" s="86"/>
    </row>
    <row r="5" spans="2:14" x14ac:dyDescent="0.25">
      <c r="B5" s="507" t="s">
        <v>8</v>
      </c>
      <c r="C5" s="508"/>
      <c r="D5" s="508"/>
      <c r="E5" s="508"/>
      <c r="F5" s="508"/>
      <c r="G5" s="508"/>
      <c r="H5" s="519" t="str">
        <f>"CHAPTER "&amp;B12</f>
        <v>CHAPTER 2/C13.4</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20"/>
      <c r="I6" s="9"/>
    </row>
    <row r="7" spans="2:14" ht="12.75" customHeight="1" x14ac:dyDescent="0.25">
      <c r="B7" s="500"/>
      <c r="C7" s="501"/>
      <c r="D7" s="501"/>
      <c r="E7" s="501"/>
      <c r="F7" s="501"/>
      <c r="G7" s="501"/>
      <c r="H7" s="520"/>
      <c r="I7" s="9"/>
    </row>
    <row r="8" spans="2:14" ht="7.5" customHeight="1" x14ac:dyDescent="0.25">
      <c r="B8" s="502"/>
      <c r="C8" s="503"/>
      <c r="D8" s="503"/>
      <c r="E8" s="503"/>
      <c r="F8" s="503"/>
      <c r="G8" s="503"/>
      <c r="H8" s="521"/>
      <c r="I8" s="9"/>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s="10" customFormat="1" ht="25.2" customHeight="1" x14ac:dyDescent="0.25">
      <c r="B10" s="49"/>
      <c r="C10" s="225" t="s">
        <v>1264</v>
      </c>
      <c r="D10" s="492"/>
      <c r="E10" s="54"/>
      <c r="F10" s="54"/>
      <c r="G10" s="54"/>
      <c r="H10" s="54"/>
      <c r="I10" s="13"/>
      <c r="K10" s="17"/>
      <c r="L10" s="17"/>
      <c r="M10" s="17"/>
      <c r="N10" s="17"/>
    </row>
    <row r="11" spans="2:14" x14ac:dyDescent="0.25">
      <c r="B11" s="53"/>
      <c r="C11" s="15"/>
      <c r="D11" s="15"/>
      <c r="E11" s="16"/>
      <c r="F11" s="16"/>
      <c r="G11" s="17"/>
      <c r="H11" s="18" t="str">
        <f t="shared" ref="H11:H25" si="0">IF(E11="","",F11*G11)</f>
        <v/>
      </c>
      <c r="I11" s="19"/>
      <c r="K11" s="43"/>
      <c r="L11" s="43"/>
      <c r="M11" s="43"/>
      <c r="N11" s="43"/>
    </row>
    <row r="12" spans="2:14" x14ac:dyDescent="0.25">
      <c r="B12" s="80" t="s">
        <v>1290</v>
      </c>
      <c r="C12" s="21" t="s">
        <v>421</v>
      </c>
      <c r="D12" s="23" t="s">
        <v>1602</v>
      </c>
      <c r="E12" s="23"/>
      <c r="F12" s="23"/>
      <c r="G12" s="43"/>
      <c r="H12" s="18" t="str">
        <f t="shared" si="0"/>
        <v/>
      </c>
      <c r="I12" s="44"/>
      <c r="K12" s="43"/>
      <c r="L12" s="43"/>
      <c r="M12" s="43"/>
      <c r="N12" s="43"/>
    </row>
    <row r="13" spans="2:14" x14ac:dyDescent="0.25">
      <c r="B13" s="53"/>
      <c r="C13" s="15"/>
      <c r="D13" s="15"/>
      <c r="E13" s="23"/>
      <c r="F13" s="23"/>
      <c r="G13" s="43"/>
      <c r="H13" s="18" t="str">
        <f t="shared" si="0"/>
        <v/>
      </c>
      <c r="I13" s="44"/>
      <c r="K13" s="25"/>
      <c r="L13" s="48" t="str">
        <f t="shared" ref="L13:L46" si="1">IF(K13="","",K13*F13)</f>
        <v/>
      </c>
      <c r="M13" s="25"/>
      <c r="N13" s="25"/>
    </row>
    <row r="14" spans="2:14" x14ac:dyDescent="0.25">
      <c r="B14" s="53" t="s">
        <v>1291</v>
      </c>
      <c r="C14" s="15" t="s">
        <v>1230</v>
      </c>
      <c r="D14" s="15"/>
      <c r="E14" s="23"/>
      <c r="F14" s="23"/>
      <c r="G14" s="43"/>
      <c r="H14" s="18" t="str">
        <f t="shared" si="0"/>
        <v/>
      </c>
      <c r="I14" s="44"/>
      <c r="K14" s="43"/>
      <c r="L14" s="48" t="str">
        <f t="shared" si="1"/>
        <v/>
      </c>
      <c r="M14" s="43"/>
      <c r="N14" s="43"/>
    </row>
    <row r="15" spans="2:14" x14ac:dyDescent="0.25">
      <c r="B15" s="53"/>
      <c r="C15" s="15"/>
      <c r="D15" s="15"/>
      <c r="E15" s="23"/>
      <c r="F15" s="23"/>
      <c r="G15" s="43"/>
      <c r="H15" s="18" t="str">
        <f t="shared" si="0"/>
        <v/>
      </c>
      <c r="I15" s="44"/>
      <c r="K15" s="43"/>
      <c r="L15" s="48" t="str">
        <f t="shared" si="1"/>
        <v/>
      </c>
      <c r="M15" s="43"/>
      <c r="N15" s="43"/>
    </row>
    <row r="16" spans="2:14" x14ac:dyDescent="0.25">
      <c r="B16" s="53" t="s">
        <v>1292</v>
      </c>
      <c r="C16" s="15" t="s">
        <v>1231</v>
      </c>
      <c r="D16" s="15"/>
      <c r="E16" s="23"/>
      <c r="F16" s="24"/>
      <c r="G16" s="25"/>
      <c r="H16" s="18" t="str">
        <f t="shared" si="0"/>
        <v/>
      </c>
      <c r="I16" s="45"/>
      <c r="K16" s="43"/>
      <c r="L16" s="48" t="str">
        <f t="shared" si="1"/>
        <v/>
      </c>
      <c r="M16" s="43"/>
      <c r="N16" s="43"/>
    </row>
    <row r="17" spans="2:14" x14ac:dyDescent="0.25">
      <c r="B17" s="53"/>
      <c r="C17" s="15"/>
      <c r="D17" s="15"/>
      <c r="E17" s="23"/>
      <c r="F17" s="24"/>
      <c r="G17" s="25"/>
      <c r="H17" s="18" t="str">
        <f t="shared" si="0"/>
        <v/>
      </c>
      <c r="I17" s="45"/>
      <c r="K17" s="43"/>
      <c r="L17" s="48" t="str">
        <f t="shared" si="1"/>
        <v/>
      </c>
      <c r="M17" s="43"/>
      <c r="N17" s="43"/>
    </row>
    <row r="18" spans="2:14" x14ac:dyDescent="0.25">
      <c r="B18" s="53"/>
      <c r="C18" s="214" t="s">
        <v>1218</v>
      </c>
      <c r="D18" s="214"/>
      <c r="E18" s="230" t="s">
        <v>1232</v>
      </c>
      <c r="F18" s="24">
        <v>36</v>
      </c>
      <c r="G18" s="25">
        <v>3675</v>
      </c>
      <c r="H18" s="18">
        <f t="shared" si="0"/>
        <v>132300</v>
      </c>
      <c r="I18" s="45"/>
      <c r="K18" s="43">
        <f>_Place</f>
        <v>348</v>
      </c>
      <c r="L18" s="48">
        <f t="shared" si="1"/>
        <v>12528</v>
      </c>
      <c r="M18" s="43"/>
      <c r="N18" s="43"/>
    </row>
    <row r="19" spans="2:14" x14ac:dyDescent="0.25">
      <c r="B19" s="53"/>
      <c r="C19" s="231"/>
      <c r="D19" s="231"/>
      <c r="E19" s="232"/>
      <c r="F19" s="24"/>
      <c r="G19" s="25" t="s">
        <v>1556</v>
      </c>
      <c r="H19" s="18" t="str">
        <f t="shared" si="0"/>
        <v/>
      </c>
      <c r="I19" s="45"/>
      <c r="K19" s="43"/>
      <c r="L19" s="48" t="str">
        <f t="shared" si="1"/>
        <v/>
      </c>
      <c r="M19" s="43"/>
      <c r="N19" s="43"/>
    </row>
    <row r="20" spans="2:14" x14ac:dyDescent="0.25">
      <c r="B20" s="53"/>
      <c r="C20" s="214" t="s">
        <v>1219</v>
      </c>
      <c r="D20" s="214"/>
      <c r="E20" s="230" t="s">
        <v>1232</v>
      </c>
      <c r="F20" s="24">
        <v>53</v>
      </c>
      <c r="G20" s="25">
        <v>3675</v>
      </c>
      <c r="H20" s="18">
        <f t="shared" si="0"/>
        <v>194775</v>
      </c>
      <c r="I20" s="45"/>
      <c r="K20" s="43">
        <f>_Place</f>
        <v>348</v>
      </c>
      <c r="L20" s="48">
        <f t="shared" si="1"/>
        <v>18444</v>
      </c>
      <c r="M20" s="43"/>
      <c r="N20" s="43"/>
    </row>
    <row r="21" spans="2:14" x14ac:dyDescent="0.25">
      <c r="B21" s="53"/>
      <c r="C21" s="231"/>
      <c r="D21" s="231"/>
      <c r="E21" s="232"/>
      <c r="F21" s="24"/>
      <c r="G21" s="25" t="s">
        <v>1556</v>
      </c>
      <c r="H21" s="18" t="str">
        <f t="shared" si="0"/>
        <v/>
      </c>
      <c r="I21" s="45"/>
      <c r="K21" s="43"/>
      <c r="L21" s="48" t="str">
        <f t="shared" si="1"/>
        <v/>
      </c>
      <c r="M21" s="43"/>
      <c r="N21" s="43"/>
    </row>
    <row r="22" spans="2:14" x14ac:dyDescent="0.25">
      <c r="B22" s="53"/>
      <c r="C22" s="214" t="s">
        <v>1220</v>
      </c>
      <c r="D22" s="214"/>
      <c r="E22" s="230" t="s">
        <v>1232</v>
      </c>
      <c r="F22" s="24">
        <v>13</v>
      </c>
      <c r="G22" s="25">
        <v>3675</v>
      </c>
      <c r="H22" s="18">
        <f t="shared" si="0"/>
        <v>47775</v>
      </c>
      <c r="I22" s="45"/>
      <c r="K22" s="43">
        <f>_Place</f>
        <v>348</v>
      </c>
      <c r="L22" s="48">
        <f t="shared" si="1"/>
        <v>4524</v>
      </c>
      <c r="M22" s="43"/>
      <c r="N22" s="43"/>
    </row>
    <row r="23" spans="2:14" x14ac:dyDescent="0.25">
      <c r="B23" s="53"/>
      <c r="C23" s="231"/>
      <c r="D23" s="231"/>
      <c r="E23" s="232"/>
      <c r="F23" s="24"/>
      <c r="G23" s="25" t="s">
        <v>1556</v>
      </c>
      <c r="H23" s="18" t="str">
        <f t="shared" si="0"/>
        <v/>
      </c>
      <c r="I23" s="45"/>
      <c r="K23" s="43"/>
      <c r="L23" s="48" t="str">
        <f t="shared" si="1"/>
        <v/>
      </c>
      <c r="M23" s="43"/>
      <c r="N23" s="43"/>
    </row>
    <row r="24" spans="2:14" x14ac:dyDescent="0.25">
      <c r="B24" s="53"/>
      <c r="C24" s="214" t="s">
        <v>1221</v>
      </c>
      <c r="D24" s="214"/>
      <c r="E24" s="230" t="s">
        <v>1232</v>
      </c>
      <c r="F24" s="24">
        <v>38</v>
      </c>
      <c r="G24" s="25">
        <v>3675</v>
      </c>
      <c r="H24" s="18">
        <f t="shared" si="0"/>
        <v>139650</v>
      </c>
      <c r="I24" s="45"/>
      <c r="K24" s="43">
        <f>_Place</f>
        <v>348</v>
      </c>
      <c r="L24" s="48">
        <f t="shared" si="1"/>
        <v>13224</v>
      </c>
      <c r="M24" s="43"/>
      <c r="N24" s="43"/>
    </row>
    <row r="25" spans="2:14" x14ac:dyDescent="0.25">
      <c r="B25" s="53"/>
      <c r="C25" s="214"/>
      <c r="D25" s="214"/>
      <c r="E25" s="230"/>
      <c r="F25" s="24"/>
      <c r="G25" s="25" t="s">
        <v>1556</v>
      </c>
      <c r="H25" s="18" t="str">
        <f t="shared" si="0"/>
        <v/>
      </c>
      <c r="I25" s="45"/>
      <c r="K25" s="43"/>
      <c r="L25" s="48" t="str">
        <f t="shared" si="1"/>
        <v/>
      </c>
      <c r="M25" s="43"/>
      <c r="N25" s="43"/>
    </row>
    <row r="26" spans="2:14" x14ac:dyDescent="0.25">
      <c r="B26" s="53"/>
      <c r="C26" s="15"/>
      <c r="D26" s="15"/>
      <c r="E26" s="23"/>
      <c r="F26" s="24"/>
      <c r="G26" s="25" t="s">
        <v>1556</v>
      </c>
      <c r="H26" s="18"/>
      <c r="I26" s="45"/>
      <c r="K26" s="43"/>
      <c r="L26" s="48" t="str">
        <f t="shared" si="1"/>
        <v/>
      </c>
      <c r="M26" s="43"/>
      <c r="N26" s="43"/>
    </row>
    <row r="27" spans="2:14" x14ac:dyDescent="0.25">
      <c r="B27" s="53"/>
      <c r="C27" s="15"/>
      <c r="D27" s="15"/>
      <c r="E27" s="23"/>
      <c r="F27" s="24"/>
      <c r="G27" s="25" t="s">
        <v>1556</v>
      </c>
      <c r="H27" s="18"/>
      <c r="I27" s="45"/>
      <c r="K27" s="43"/>
      <c r="L27" s="48" t="str">
        <f t="shared" si="1"/>
        <v/>
      </c>
      <c r="M27" s="43"/>
      <c r="N27" s="43"/>
    </row>
    <row r="28" spans="2:14" x14ac:dyDescent="0.25">
      <c r="B28" s="53"/>
      <c r="C28" s="15"/>
      <c r="D28" s="15"/>
      <c r="E28" s="23"/>
      <c r="F28" s="24"/>
      <c r="G28" s="43" t="s">
        <v>1556</v>
      </c>
      <c r="H28" s="18"/>
      <c r="I28" s="44"/>
      <c r="K28" s="43"/>
      <c r="L28" s="48" t="str">
        <f t="shared" si="1"/>
        <v/>
      </c>
      <c r="M28" s="43"/>
      <c r="N28" s="43"/>
    </row>
    <row r="29" spans="2:14" x14ac:dyDescent="0.25">
      <c r="B29" s="53"/>
      <c r="C29" s="15"/>
      <c r="D29" s="15"/>
      <c r="E29" s="23"/>
      <c r="F29" s="24"/>
      <c r="G29" s="46" t="s">
        <v>1556</v>
      </c>
      <c r="H29" s="18"/>
      <c r="I29" s="44"/>
      <c r="K29" s="43"/>
      <c r="L29" s="48" t="str">
        <f t="shared" si="1"/>
        <v/>
      </c>
      <c r="M29" s="43"/>
      <c r="N29" s="43"/>
    </row>
    <row r="30" spans="2:14" x14ac:dyDescent="0.25">
      <c r="B30" s="53"/>
      <c r="C30" s="15"/>
      <c r="D30" s="15"/>
      <c r="E30" s="23"/>
      <c r="F30" s="24"/>
      <c r="G30" s="48" t="s">
        <v>1556</v>
      </c>
      <c r="H30" s="18"/>
      <c r="K30" s="43"/>
      <c r="L30" s="48" t="str">
        <f t="shared" si="1"/>
        <v/>
      </c>
      <c r="M30" s="43"/>
      <c r="N30" s="43"/>
    </row>
    <row r="31" spans="2:14" x14ac:dyDescent="0.25">
      <c r="B31" s="53"/>
      <c r="C31" s="1"/>
      <c r="D31" s="1"/>
      <c r="E31" s="23"/>
      <c r="F31" s="24"/>
      <c r="G31" s="48"/>
      <c r="H31" s="18"/>
      <c r="K31" s="43"/>
      <c r="L31" s="48" t="str">
        <f t="shared" si="1"/>
        <v/>
      </c>
      <c r="M31" s="43"/>
      <c r="N31" s="43"/>
    </row>
    <row r="32" spans="2:14" x14ac:dyDescent="0.25">
      <c r="B32" s="53"/>
      <c r="C32" s="15"/>
      <c r="D32" s="15"/>
      <c r="E32" s="23"/>
      <c r="F32" s="24"/>
      <c r="G32" s="41"/>
      <c r="H32" s="18"/>
      <c r="K32" s="43"/>
      <c r="L32" s="48" t="str">
        <f t="shared" si="1"/>
        <v/>
      </c>
      <c r="M32" s="43"/>
      <c r="N32" s="43"/>
    </row>
    <row r="33" spans="2:14" x14ac:dyDescent="0.25">
      <c r="B33" s="53"/>
      <c r="C33" s="15"/>
      <c r="D33" s="15"/>
      <c r="E33" s="23"/>
      <c r="F33" s="24"/>
      <c r="G33" s="48"/>
      <c r="H33" s="18"/>
      <c r="K33" s="43"/>
      <c r="L33" s="48" t="str">
        <f t="shared" si="1"/>
        <v/>
      </c>
      <c r="M33" s="43"/>
      <c r="N33" s="43"/>
    </row>
    <row r="34" spans="2:14" x14ac:dyDescent="0.25">
      <c r="B34" s="53"/>
      <c r="C34" s="15"/>
      <c r="D34" s="15"/>
      <c r="E34" s="23"/>
      <c r="F34" s="24"/>
      <c r="G34" s="46"/>
      <c r="H34" s="18"/>
      <c r="K34" s="43"/>
      <c r="L34" s="48" t="str">
        <f t="shared" si="1"/>
        <v/>
      </c>
      <c r="M34" s="43"/>
      <c r="N34" s="43"/>
    </row>
    <row r="35" spans="2:14" x14ac:dyDescent="0.25">
      <c r="B35" s="53"/>
      <c r="C35" s="15"/>
      <c r="D35" s="15"/>
      <c r="E35" s="23"/>
      <c r="F35" s="24"/>
      <c r="G35" s="48"/>
      <c r="H35" s="18"/>
      <c r="K35" s="43"/>
      <c r="L35" s="48" t="str">
        <f t="shared" si="1"/>
        <v/>
      </c>
      <c r="M35" s="43"/>
      <c r="N35" s="43"/>
    </row>
    <row r="36" spans="2:14" x14ac:dyDescent="0.25">
      <c r="B36" s="53"/>
      <c r="C36" s="15"/>
      <c r="D36" s="15"/>
      <c r="E36" s="23"/>
      <c r="F36" s="24"/>
      <c r="G36" s="41"/>
      <c r="H36" s="18"/>
      <c r="I36" s="45"/>
      <c r="K36" s="43"/>
      <c r="L36" s="48" t="str">
        <f t="shared" si="1"/>
        <v/>
      </c>
      <c r="M36" s="43"/>
      <c r="N36" s="43"/>
    </row>
    <row r="37" spans="2:14" x14ac:dyDescent="0.25">
      <c r="B37" s="53"/>
      <c r="C37" s="15"/>
      <c r="D37" s="15"/>
      <c r="E37" s="23"/>
      <c r="F37" s="27"/>
      <c r="G37" s="30"/>
      <c r="H37" s="18"/>
      <c r="I37" s="19"/>
      <c r="K37" s="43"/>
      <c r="L37" s="48" t="str">
        <f t="shared" si="1"/>
        <v/>
      </c>
      <c r="M37" s="43"/>
      <c r="N37" s="43"/>
    </row>
    <row r="38" spans="2:14" s="39" customFormat="1" x14ac:dyDescent="0.25">
      <c r="B38" s="53"/>
      <c r="C38" s="15"/>
      <c r="D38" s="15"/>
      <c r="E38" s="23"/>
      <c r="F38" s="27"/>
      <c r="G38" s="30"/>
      <c r="H38" s="18"/>
      <c r="I38" s="19"/>
      <c r="K38" s="43"/>
      <c r="L38" s="48" t="str">
        <f t="shared" si="1"/>
        <v/>
      </c>
      <c r="M38" s="43"/>
      <c r="N38" s="43"/>
    </row>
    <row r="39" spans="2:14" x14ac:dyDescent="0.25">
      <c r="B39" s="53"/>
      <c r="C39" s="15"/>
      <c r="D39" s="15"/>
      <c r="E39" s="23"/>
      <c r="F39" s="24"/>
      <c r="G39" s="41"/>
      <c r="H39" s="18"/>
      <c r="I39" s="45"/>
      <c r="K39" s="43"/>
      <c r="L39" s="48" t="str">
        <f t="shared" si="1"/>
        <v/>
      </c>
      <c r="M39" s="43"/>
      <c r="N39" s="43"/>
    </row>
    <row r="40" spans="2:14" x14ac:dyDescent="0.25">
      <c r="B40" s="53"/>
      <c r="C40" s="15"/>
      <c r="D40" s="15"/>
      <c r="E40" s="23"/>
      <c r="F40" s="24"/>
      <c r="G40" s="41"/>
      <c r="H40" s="18"/>
      <c r="I40" s="45"/>
      <c r="K40" s="43"/>
      <c r="L40" s="48" t="str">
        <f t="shared" si="1"/>
        <v/>
      </c>
      <c r="M40" s="43"/>
      <c r="N40" s="43"/>
    </row>
    <row r="41" spans="2:14" x14ac:dyDescent="0.25">
      <c r="B41" s="53"/>
      <c r="C41" s="15"/>
      <c r="D41" s="15"/>
      <c r="E41" s="23"/>
      <c r="F41" s="24"/>
      <c r="G41" s="50"/>
      <c r="H41" s="18"/>
      <c r="I41" s="44"/>
      <c r="K41" s="43"/>
      <c r="L41" s="48" t="str">
        <f t="shared" si="1"/>
        <v/>
      </c>
      <c r="M41" s="43"/>
      <c r="N41" s="43"/>
    </row>
    <row r="42" spans="2:14" x14ac:dyDescent="0.25">
      <c r="B42" s="53"/>
      <c r="C42" s="15"/>
      <c r="D42" s="15"/>
      <c r="E42" s="23"/>
      <c r="F42" s="24"/>
      <c r="G42" s="50"/>
      <c r="H42" s="18"/>
      <c r="I42" s="44"/>
      <c r="K42" s="43"/>
      <c r="L42" s="48" t="str">
        <f t="shared" si="1"/>
        <v/>
      </c>
      <c r="M42" s="43"/>
      <c r="N42" s="43"/>
    </row>
    <row r="43" spans="2:14" x14ac:dyDescent="0.25">
      <c r="B43" s="53"/>
      <c r="C43" s="15"/>
      <c r="D43" s="15"/>
      <c r="E43" s="23"/>
      <c r="F43" s="24"/>
      <c r="G43" s="46"/>
      <c r="H43" s="18"/>
      <c r="I43" s="44"/>
      <c r="K43" s="43"/>
      <c r="L43" s="48" t="str">
        <f t="shared" si="1"/>
        <v/>
      </c>
      <c r="M43" s="43"/>
      <c r="N43" s="43"/>
    </row>
    <row r="44" spans="2:14" x14ac:dyDescent="0.25">
      <c r="B44" s="53"/>
      <c r="C44" s="15"/>
      <c r="D44" s="15"/>
      <c r="E44" s="23"/>
      <c r="F44" s="24"/>
      <c r="G44" s="46"/>
      <c r="H44" s="18"/>
      <c r="I44" s="44"/>
      <c r="K44" s="43"/>
      <c r="L44" s="48" t="str">
        <f t="shared" si="1"/>
        <v/>
      </c>
      <c r="M44" s="43"/>
      <c r="N44" s="43"/>
    </row>
    <row r="45" spans="2:14" x14ac:dyDescent="0.25">
      <c r="B45" s="53"/>
      <c r="C45" s="15"/>
      <c r="D45" s="15"/>
      <c r="E45" s="23"/>
      <c r="F45" s="23"/>
      <c r="G45" s="43"/>
      <c r="H45" s="18"/>
      <c r="I45" s="44"/>
      <c r="K45" s="43"/>
      <c r="L45" s="48" t="str">
        <f t="shared" si="1"/>
        <v/>
      </c>
      <c r="M45" s="43"/>
      <c r="N45" s="43"/>
    </row>
    <row r="46" spans="2:14" x14ac:dyDescent="0.25">
      <c r="B46" s="53"/>
      <c r="C46" s="15"/>
      <c r="D46" s="15"/>
      <c r="E46" s="23"/>
      <c r="F46" s="23"/>
      <c r="G46" s="43"/>
      <c r="H46" s="18"/>
      <c r="I46" s="44"/>
      <c r="K46" s="43"/>
      <c r="L46" s="48" t="str">
        <f t="shared" si="1"/>
        <v/>
      </c>
      <c r="M46" s="43"/>
      <c r="N46" s="43"/>
    </row>
    <row r="47" spans="2:14" x14ac:dyDescent="0.25">
      <c r="B47" s="53"/>
      <c r="C47" s="15"/>
      <c r="D47" s="15"/>
      <c r="E47" s="23"/>
      <c r="F47" s="23"/>
      <c r="G47" s="41"/>
      <c r="H47" s="18"/>
      <c r="I47" s="44"/>
      <c r="K47" s="43"/>
      <c r="L47" s="48" t="str">
        <f t="shared" ref="L47:L66" si="2">IF(K47="","",K47*F47)</f>
        <v/>
      </c>
      <c r="M47" s="43"/>
      <c r="N47" s="43"/>
    </row>
    <row r="48" spans="2:14" x14ac:dyDescent="0.25">
      <c r="B48" s="53"/>
      <c r="C48" s="15"/>
      <c r="D48" s="15"/>
      <c r="E48" s="23"/>
      <c r="F48" s="23"/>
      <c r="G48" s="41"/>
      <c r="H48" s="18"/>
      <c r="I48" s="44"/>
      <c r="K48" s="43"/>
      <c r="L48" s="48" t="str">
        <f t="shared" si="2"/>
        <v/>
      </c>
      <c r="M48" s="43"/>
      <c r="N48" s="43"/>
    </row>
    <row r="49" spans="2:14" x14ac:dyDescent="0.25">
      <c r="B49" s="53"/>
      <c r="C49" s="15"/>
      <c r="D49" s="15"/>
      <c r="E49" s="23"/>
      <c r="F49" s="23"/>
      <c r="G49" s="41"/>
      <c r="H49" s="18"/>
      <c r="I49" s="44"/>
      <c r="K49" s="43"/>
      <c r="L49" s="48" t="str">
        <f t="shared" si="2"/>
        <v/>
      </c>
      <c r="M49" s="43"/>
      <c r="N49" s="43"/>
    </row>
    <row r="50" spans="2:14" x14ac:dyDescent="0.25">
      <c r="B50" s="53"/>
      <c r="C50" s="15"/>
      <c r="D50" s="15"/>
      <c r="E50" s="23"/>
      <c r="F50" s="23"/>
      <c r="G50" s="41"/>
      <c r="H50" s="18"/>
      <c r="I50" s="44"/>
      <c r="K50" s="43"/>
      <c r="L50" s="48" t="str">
        <f t="shared" si="2"/>
        <v/>
      </c>
      <c r="M50" s="43"/>
      <c r="N50" s="43"/>
    </row>
    <row r="51" spans="2:14" x14ac:dyDescent="0.25">
      <c r="B51" s="53"/>
      <c r="C51" s="15"/>
      <c r="D51" s="15"/>
      <c r="E51" s="23"/>
      <c r="F51" s="23"/>
      <c r="G51" s="41"/>
      <c r="H51" s="18"/>
      <c r="I51" s="44"/>
      <c r="K51" s="43"/>
      <c r="L51" s="48" t="str">
        <f t="shared" si="2"/>
        <v/>
      </c>
      <c r="M51" s="43"/>
      <c r="N51" s="43"/>
    </row>
    <row r="52" spans="2:14" x14ac:dyDescent="0.25">
      <c r="B52" s="53"/>
      <c r="C52" s="15"/>
      <c r="D52" s="15"/>
      <c r="E52" s="23"/>
      <c r="F52" s="23"/>
      <c r="G52" s="41"/>
      <c r="H52" s="18"/>
      <c r="I52" s="44"/>
      <c r="K52" s="43"/>
      <c r="L52" s="48" t="str">
        <f t="shared" si="2"/>
        <v/>
      </c>
      <c r="M52" s="43"/>
      <c r="N52" s="43"/>
    </row>
    <row r="53" spans="2:14" x14ac:dyDescent="0.25">
      <c r="B53" s="53"/>
      <c r="C53" s="15"/>
      <c r="D53" s="15"/>
      <c r="E53" s="23"/>
      <c r="F53" s="23"/>
      <c r="G53" s="41"/>
      <c r="H53" s="18"/>
      <c r="I53" s="44"/>
      <c r="K53" s="43"/>
      <c r="L53" s="48" t="str">
        <f t="shared" si="2"/>
        <v/>
      </c>
      <c r="M53" s="43"/>
      <c r="N53" s="43"/>
    </row>
    <row r="54" spans="2:14" x14ac:dyDescent="0.25">
      <c r="B54" s="53"/>
      <c r="C54" s="15"/>
      <c r="D54" s="15"/>
      <c r="E54" s="23"/>
      <c r="F54" s="23"/>
      <c r="G54" s="41"/>
      <c r="H54" s="18"/>
      <c r="I54" s="44"/>
      <c r="K54" s="43"/>
      <c r="L54" s="48" t="str">
        <f t="shared" si="2"/>
        <v/>
      </c>
      <c r="M54" s="43"/>
      <c r="N54" s="43"/>
    </row>
    <row r="55" spans="2:14" x14ac:dyDescent="0.25">
      <c r="B55" s="53"/>
      <c r="C55" s="15"/>
      <c r="D55" s="15"/>
      <c r="E55" s="23"/>
      <c r="F55" s="23"/>
      <c r="G55" s="51"/>
      <c r="H55" s="18"/>
      <c r="I55" s="44"/>
      <c r="K55" s="43"/>
      <c r="L55" s="48" t="str">
        <f t="shared" si="2"/>
        <v/>
      </c>
      <c r="M55" s="43"/>
      <c r="N55" s="43"/>
    </row>
    <row r="56" spans="2:14" x14ac:dyDescent="0.25">
      <c r="B56" s="53"/>
      <c r="C56" s="15"/>
      <c r="D56" s="15"/>
      <c r="E56" s="23"/>
      <c r="F56" s="23"/>
      <c r="G56" s="51"/>
      <c r="H56" s="18"/>
      <c r="I56" s="44"/>
      <c r="K56" s="43"/>
      <c r="L56" s="48" t="str">
        <f t="shared" si="2"/>
        <v/>
      </c>
      <c r="M56" s="43"/>
      <c r="N56" s="43"/>
    </row>
    <row r="57" spans="2:14" x14ac:dyDescent="0.25">
      <c r="B57" s="53"/>
      <c r="C57" s="15"/>
      <c r="D57" s="15"/>
      <c r="E57" s="23"/>
      <c r="F57" s="23"/>
      <c r="G57" s="41"/>
      <c r="H57" s="18"/>
      <c r="I57" s="44"/>
      <c r="K57" s="43"/>
      <c r="L57" s="48" t="str">
        <f t="shared" si="2"/>
        <v/>
      </c>
      <c r="M57" s="43"/>
      <c r="N57" s="43"/>
    </row>
    <row r="58" spans="2:14" x14ac:dyDescent="0.25">
      <c r="B58" s="53"/>
      <c r="C58" s="15"/>
      <c r="D58" s="15"/>
      <c r="E58" s="23"/>
      <c r="F58" s="23"/>
      <c r="G58" s="41"/>
      <c r="H58" s="18"/>
      <c r="I58" s="44"/>
      <c r="K58" s="43"/>
      <c r="L58" s="48" t="str">
        <f t="shared" si="2"/>
        <v/>
      </c>
      <c r="M58" s="43"/>
      <c r="N58" s="43"/>
    </row>
    <row r="59" spans="2:14" x14ac:dyDescent="0.25">
      <c r="B59" s="53"/>
      <c r="C59" s="15"/>
      <c r="D59" s="15"/>
      <c r="E59" s="23"/>
      <c r="F59" s="23"/>
      <c r="G59" s="41"/>
      <c r="H59" s="18"/>
      <c r="I59" s="44"/>
      <c r="K59" s="43"/>
      <c r="L59" s="48" t="str">
        <f t="shared" si="2"/>
        <v/>
      </c>
      <c r="M59" s="43"/>
      <c r="N59" s="43"/>
    </row>
    <row r="60" spans="2:14" x14ac:dyDescent="0.25">
      <c r="B60" s="53"/>
      <c r="C60" s="15"/>
      <c r="D60" s="15"/>
      <c r="E60" s="23"/>
      <c r="F60" s="23"/>
      <c r="G60" s="41"/>
      <c r="H60" s="18"/>
      <c r="I60" s="44"/>
      <c r="K60" s="43"/>
      <c r="L60" s="48" t="str">
        <f t="shared" si="2"/>
        <v/>
      </c>
      <c r="M60" s="43"/>
      <c r="N60" s="43"/>
    </row>
    <row r="61" spans="2:14" x14ac:dyDescent="0.25">
      <c r="B61" s="53"/>
      <c r="C61" s="15"/>
      <c r="D61" s="15"/>
      <c r="E61" s="23"/>
      <c r="F61" s="23"/>
      <c r="G61" s="41"/>
      <c r="H61" s="18"/>
      <c r="I61" s="44"/>
      <c r="K61" s="43"/>
      <c r="L61" s="48" t="str">
        <f t="shared" si="2"/>
        <v/>
      </c>
      <c r="M61" s="43"/>
      <c r="N61" s="43"/>
    </row>
    <row r="62" spans="2:14" x14ac:dyDescent="0.25">
      <c r="B62" s="53"/>
      <c r="C62" s="15"/>
      <c r="D62" s="15"/>
      <c r="E62" s="23"/>
      <c r="F62" s="23"/>
      <c r="G62" s="41"/>
      <c r="H62" s="18"/>
      <c r="I62" s="44"/>
      <c r="K62" s="43"/>
      <c r="L62" s="48" t="str">
        <f t="shared" si="2"/>
        <v/>
      </c>
      <c r="M62" s="43"/>
      <c r="N62" s="43"/>
    </row>
    <row r="63" spans="2:14" x14ac:dyDescent="0.25">
      <c r="B63" s="53"/>
      <c r="C63" s="15"/>
      <c r="D63" s="15"/>
      <c r="E63" s="23"/>
      <c r="F63" s="23"/>
      <c r="G63" s="41"/>
      <c r="H63" s="18"/>
      <c r="I63" s="44"/>
      <c r="K63" s="43"/>
      <c r="L63" s="48" t="str">
        <f t="shared" si="2"/>
        <v/>
      </c>
      <c r="M63" s="43"/>
      <c r="N63" s="43"/>
    </row>
    <row r="64" spans="2:14" x14ac:dyDescent="0.25">
      <c r="B64" s="53"/>
      <c r="C64" s="15"/>
      <c r="D64" s="15"/>
      <c r="E64" s="23"/>
      <c r="F64" s="23"/>
      <c r="G64" s="41"/>
      <c r="H64" s="18"/>
      <c r="I64" s="44"/>
      <c r="K64" s="43"/>
      <c r="L64" s="48" t="str">
        <f t="shared" si="2"/>
        <v/>
      </c>
      <c r="M64" s="43"/>
      <c r="N64" s="43"/>
    </row>
    <row r="65" spans="2:14" x14ac:dyDescent="0.25">
      <c r="B65" s="53"/>
      <c r="C65" s="15"/>
      <c r="D65" s="15"/>
      <c r="E65" s="23"/>
      <c r="F65" s="23"/>
      <c r="G65" s="41"/>
      <c r="H65" s="18" t="str">
        <f>IF(E65="","",F65*G65)</f>
        <v/>
      </c>
      <c r="I65" s="44"/>
      <c r="K65" s="43"/>
      <c r="L65" s="48" t="str">
        <f t="shared" si="2"/>
        <v/>
      </c>
      <c r="M65" s="43"/>
      <c r="N65" s="43"/>
    </row>
    <row r="66" spans="2:14" x14ac:dyDescent="0.25">
      <c r="B66" s="53"/>
      <c r="C66" s="15"/>
      <c r="D66" s="15"/>
      <c r="E66" s="23"/>
      <c r="F66" s="23"/>
      <c r="G66" s="41"/>
      <c r="H66" s="18"/>
      <c r="I66" s="44"/>
      <c r="K66" s="43"/>
      <c r="L66" s="48" t="str">
        <f t="shared" si="2"/>
        <v/>
      </c>
      <c r="M66" s="43"/>
      <c r="N66" s="43"/>
    </row>
    <row r="67" spans="2:14" s="31" customFormat="1" ht="19.5" customHeight="1" x14ac:dyDescent="0.25">
      <c r="B67" s="151" t="str">
        <f>$B$12</f>
        <v>2/C13.4</v>
      </c>
      <c r="C67" s="33" t="s">
        <v>957</v>
      </c>
      <c r="D67" s="33"/>
      <c r="E67" s="34"/>
      <c r="F67" s="35"/>
      <c r="G67" s="34"/>
      <c r="H67" s="36">
        <f>SUM(H11:H66)</f>
        <v>514500</v>
      </c>
      <c r="I67" s="37"/>
      <c r="L67" s="36">
        <f>SUM(L11:L66)</f>
        <v>48720</v>
      </c>
    </row>
  </sheetData>
  <mergeCells count="4">
    <mergeCell ref="F2:H2"/>
    <mergeCell ref="B5:G5"/>
    <mergeCell ref="H5:H8"/>
    <mergeCell ref="B6:G8"/>
  </mergeCells>
  <printOptions horizontalCentered="1"/>
  <pageMargins left="0.43307086614173229" right="0.31496062992125984" top="0.43307086614173229" bottom="0.62992125984251968" header="0.35433070866141736" footer="0.31496062992125984"/>
  <pageSetup paperSize="9" scale="79"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30988-CADC-4CDF-999A-653A160D9176}">
  <sheetPr>
    <tabColor rgb="FF92D050"/>
  </sheetPr>
  <dimension ref="B1:N55"/>
  <sheetViews>
    <sheetView view="pageBreakPreview" topLeftCell="A3" zoomScaleNormal="125" zoomScaleSheetLayoutView="100" zoomScalePageLayoutView="125" workbookViewId="0">
      <selection activeCell="L25" sqref="L25"/>
    </sheetView>
  </sheetViews>
  <sheetFormatPr defaultColWidth="6.6640625" defaultRowHeight="13.2" x14ac:dyDescent="0.25"/>
  <cols>
    <col min="1" max="1" width="0.6640625" style="1" customWidth="1"/>
    <col min="2" max="2" width="11.6640625" style="38" customWidth="1"/>
    <col min="3" max="3" width="45.6640625" style="3" customWidth="1"/>
    <col min="4" max="4" width="3.88671875" style="3" customWidth="1"/>
    <col min="5" max="5" width="13.6640625" style="4" customWidth="1"/>
    <col min="6" max="6" width="15.6640625" style="4" customWidth="1"/>
    <col min="7" max="7" width="15.6640625" style="1" customWidth="1"/>
    <col min="8" max="8" width="15.6640625" style="5" customWidth="1"/>
    <col min="9" max="9" width="0.6640625" style="5" customWidth="1"/>
    <col min="10" max="16384" width="6.6640625" style="1"/>
  </cols>
  <sheetData>
    <row r="1" spans="2:14" x14ac:dyDescent="0.25">
      <c r="H1" s="234">
        <f>MAX(H9:H500)</f>
        <v>6006</v>
      </c>
    </row>
    <row r="2" spans="2:14" x14ac:dyDescent="0.25">
      <c r="B2" s="2" t="str">
        <f>Client1</f>
        <v>Province of KwaZulu-Natal</v>
      </c>
      <c r="F2" s="510" t="str">
        <f>"Contract No. "&amp;ContractNo</f>
        <v>Contract No. ZNB02215/00000/00/HOD/INF/23/T</v>
      </c>
      <c r="G2" s="510"/>
      <c r="H2" s="510"/>
      <c r="K2" s="402"/>
      <c r="L2" s="402">
        <f>MAX(L3:L245)</f>
        <v>0</v>
      </c>
      <c r="M2" s="402"/>
      <c r="N2" s="403"/>
    </row>
    <row r="3" spans="2:14" x14ac:dyDescent="0.25">
      <c r="B3" s="96" t="str">
        <f>Client2</f>
        <v>Department of Transport</v>
      </c>
      <c r="K3" s="1" t="s">
        <v>1421</v>
      </c>
      <c r="L3" s="1" t="s">
        <v>1422</v>
      </c>
      <c r="M3" s="1" t="s">
        <v>1423</v>
      </c>
      <c r="N3" s="1" t="s">
        <v>1424</v>
      </c>
    </row>
    <row r="4" spans="2:14" x14ac:dyDescent="0.25">
      <c r="B4" s="84"/>
      <c r="C4" s="84"/>
      <c r="D4" s="84"/>
      <c r="E4" s="85"/>
      <c r="F4" s="85"/>
      <c r="G4" s="86"/>
      <c r="H4" s="98"/>
      <c r="K4" s="86"/>
      <c r="L4" s="86"/>
      <c r="M4" s="86"/>
      <c r="N4" s="86"/>
    </row>
    <row r="5" spans="2:14" x14ac:dyDescent="0.25">
      <c r="B5" s="507" t="s">
        <v>8</v>
      </c>
      <c r="C5" s="508"/>
      <c r="D5" s="508"/>
      <c r="E5" s="508"/>
      <c r="F5" s="508"/>
      <c r="G5" s="508"/>
      <c r="H5" s="535" t="str">
        <f>"CHAPTER "&amp;B12</f>
        <v>CHAPTER 2/C13.7</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36"/>
      <c r="I6" s="9"/>
    </row>
    <row r="7" spans="2:14" ht="12.75" customHeight="1" x14ac:dyDescent="0.25">
      <c r="B7" s="500"/>
      <c r="C7" s="501"/>
      <c r="D7" s="501"/>
      <c r="E7" s="501"/>
      <c r="F7" s="501"/>
      <c r="G7" s="501"/>
      <c r="H7" s="536"/>
      <c r="I7" s="9"/>
    </row>
    <row r="8" spans="2:14" ht="7.5" customHeight="1" x14ac:dyDescent="0.25">
      <c r="B8" s="502"/>
      <c r="C8" s="503"/>
      <c r="D8" s="503"/>
      <c r="E8" s="503"/>
      <c r="F8" s="503"/>
      <c r="G8" s="503"/>
      <c r="H8" s="537"/>
      <c r="I8" s="9"/>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s="10" customFormat="1" ht="25.2" customHeight="1" x14ac:dyDescent="0.25">
      <c r="B10" s="49"/>
      <c r="C10" s="225" t="s">
        <v>1264</v>
      </c>
      <c r="D10" s="492"/>
      <c r="E10" s="54"/>
      <c r="F10" s="54"/>
      <c r="G10" s="54"/>
      <c r="H10" s="54"/>
      <c r="I10" s="13"/>
      <c r="K10" s="17"/>
      <c r="L10" s="17"/>
      <c r="M10" s="17"/>
      <c r="N10" s="17"/>
    </row>
    <row r="11" spans="2:14" x14ac:dyDescent="0.25">
      <c r="B11" s="14"/>
      <c r="C11" s="15"/>
      <c r="D11" s="15"/>
      <c r="E11" s="16"/>
      <c r="F11" s="16"/>
      <c r="G11" s="17"/>
      <c r="H11" s="18" t="str">
        <f>IF(E11="","",F11*G11)</f>
        <v/>
      </c>
      <c r="I11" s="19"/>
      <c r="K11" s="43"/>
      <c r="L11" s="43"/>
      <c r="M11" s="43"/>
      <c r="N11" s="43"/>
    </row>
    <row r="12" spans="2:14" x14ac:dyDescent="0.25">
      <c r="B12" s="20" t="s">
        <v>1294</v>
      </c>
      <c r="C12" s="21" t="s">
        <v>422</v>
      </c>
      <c r="D12" s="21"/>
      <c r="E12" s="23"/>
      <c r="F12" s="23"/>
      <c r="G12" s="43"/>
      <c r="H12" s="26" t="str">
        <f>IF(E12="","",F12*G12)</f>
        <v/>
      </c>
      <c r="I12" s="44"/>
      <c r="K12" s="43"/>
      <c r="L12" s="43"/>
      <c r="M12" s="43"/>
      <c r="N12" s="43"/>
    </row>
    <row r="13" spans="2:14" x14ac:dyDescent="0.25">
      <c r="B13" s="20"/>
      <c r="C13" s="15"/>
      <c r="D13" s="15"/>
      <c r="E13" s="23"/>
      <c r="F13" s="23"/>
      <c r="G13" s="43"/>
      <c r="H13" s="26" t="str">
        <f>IF(E13="","",F13*G13)</f>
        <v/>
      </c>
      <c r="I13" s="44"/>
      <c r="K13" s="25"/>
      <c r="L13" s="48" t="str">
        <f t="shared" ref="L13:L46" si="0">IF(K13="","",K13*F13)</f>
        <v/>
      </c>
      <c r="M13" s="25"/>
      <c r="N13" s="25"/>
    </row>
    <row r="14" spans="2:14" x14ac:dyDescent="0.25">
      <c r="B14" s="22" t="s">
        <v>1293</v>
      </c>
      <c r="C14" s="15" t="s">
        <v>423</v>
      </c>
      <c r="D14" s="15"/>
      <c r="E14" s="23"/>
      <c r="F14" s="24"/>
      <c r="G14" s="43"/>
      <c r="H14" s="26" t="str">
        <f t="shared" ref="H14:H23" si="1">IF(E14="","",F14*G14)</f>
        <v/>
      </c>
      <c r="I14" s="44"/>
      <c r="K14" s="43"/>
      <c r="L14" s="48" t="str">
        <f t="shared" si="0"/>
        <v/>
      </c>
      <c r="M14" s="43"/>
      <c r="N14" s="43"/>
    </row>
    <row r="15" spans="2:14" x14ac:dyDescent="0.25">
      <c r="B15" s="14"/>
      <c r="C15" s="15"/>
      <c r="D15" s="15"/>
      <c r="E15" s="23"/>
      <c r="F15" s="24"/>
      <c r="G15" s="46"/>
      <c r="H15" s="26" t="str">
        <f t="shared" si="1"/>
        <v/>
      </c>
      <c r="I15" s="44"/>
      <c r="K15" s="43"/>
      <c r="L15" s="48" t="str">
        <f t="shared" si="0"/>
        <v/>
      </c>
      <c r="M15" s="43"/>
      <c r="N15" s="43"/>
    </row>
    <row r="16" spans="2:14" ht="15.6" x14ac:dyDescent="0.25">
      <c r="B16" s="14" t="s">
        <v>1295</v>
      </c>
      <c r="C16" s="1" t="s">
        <v>1244</v>
      </c>
      <c r="D16" s="48"/>
      <c r="E16" s="215" t="s">
        <v>80</v>
      </c>
      <c r="F16" s="24">
        <v>3</v>
      </c>
      <c r="G16" s="48">
        <v>210</v>
      </c>
      <c r="H16" s="26">
        <f t="shared" si="1"/>
        <v>630</v>
      </c>
      <c r="K16" s="43"/>
      <c r="L16" s="48" t="str">
        <f t="shared" si="0"/>
        <v/>
      </c>
      <c r="M16" s="43"/>
      <c r="N16" s="43"/>
    </row>
    <row r="17" spans="2:14" x14ac:dyDescent="0.25">
      <c r="B17" s="14"/>
      <c r="C17" s="15"/>
      <c r="D17" s="15"/>
      <c r="E17" s="23"/>
      <c r="F17" s="24"/>
      <c r="G17" s="48" t="s">
        <v>1556</v>
      </c>
      <c r="H17" s="26" t="str">
        <f t="shared" si="1"/>
        <v/>
      </c>
      <c r="K17" s="43"/>
      <c r="L17" s="48" t="str">
        <f t="shared" si="0"/>
        <v/>
      </c>
      <c r="M17" s="43"/>
      <c r="N17" s="43"/>
    </row>
    <row r="18" spans="2:14" x14ac:dyDescent="0.25">
      <c r="B18" s="14" t="s">
        <v>1296</v>
      </c>
      <c r="C18" s="15" t="s">
        <v>424</v>
      </c>
      <c r="D18" s="15"/>
      <c r="E18" s="23"/>
      <c r="F18" s="24"/>
      <c r="G18" s="48" t="s">
        <v>1556</v>
      </c>
      <c r="H18" s="26" t="str">
        <f t="shared" si="1"/>
        <v/>
      </c>
      <c r="K18" s="43"/>
      <c r="L18" s="48" t="str">
        <f t="shared" si="0"/>
        <v/>
      </c>
      <c r="M18" s="43"/>
      <c r="N18" s="43"/>
    </row>
    <row r="19" spans="2:14" x14ac:dyDescent="0.25">
      <c r="B19" s="22"/>
      <c r="C19" s="15"/>
      <c r="D19" s="15"/>
      <c r="E19" s="23"/>
      <c r="F19" s="24"/>
      <c r="G19" s="50" t="s">
        <v>1556</v>
      </c>
      <c r="H19" s="26" t="str">
        <f t="shared" si="1"/>
        <v/>
      </c>
      <c r="I19" s="44"/>
      <c r="K19" s="43"/>
      <c r="L19" s="48" t="str">
        <f t="shared" si="0"/>
        <v/>
      </c>
      <c r="M19" s="43"/>
      <c r="N19" s="43"/>
    </row>
    <row r="20" spans="2:14" ht="22.8" x14ac:dyDescent="0.2">
      <c r="B20" s="22" t="s">
        <v>1297</v>
      </c>
      <c r="C20" s="214" t="s">
        <v>1242</v>
      </c>
      <c r="D20" s="214"/>
      <c r="E20" s="215" t="s">
        <v>6</v>
      </c>
      <c r="F20" s="24">
        <v>32</v>
      </c>
      <c r="G20" s="233">
        <v>105</v>
      </c>
      <c r="H20" s="26">
        <f t="shared" si="1"/>
        <v>3360</v>
      </c>
      <c r="I20" s="44"/>
      <c r="K20" s="43"/>
      <c r="L20" s="48" t="str">
        <f t="shared" si="0"/>
        <v/>
      </c>
      <c r="M20" s="43"/>
      <c r="N20" s="43"/>
    </row>
    <row r="21" spans="2:14" x14ac:dyDescent="0.2">
      <c r="B21" s="22"/>
      <c r="C21" s="214"/>
      <c r="D21" s="214"/>
      <c r="E21" s="215"/>
      <c r="F21" s="24"/>
      <c r="G21" s="211" t="s">
        <v>1556</v>
      </c>
      <c r="H21" s="26" t="str">
        <f t="shared" si="1"/>
        <v/>
      </c>
      <c r="I21" s="44"/>
      <c r="K21" s="43"/>
      <c r="L21" s="48" t="str">
        <f t="shared" si="0"/>
        <v/>
      </c>
      <c r="M21" s="43"/>
      <c r="N21" s="43"/>
    </row>
    <row r="22" spans="2:14" ht="22.8" x14ac:dyDescent="0.2">
      <c r="B22" s="22" t="s">
        <v>1298</v>
      </c>
      <c r="C22" s="214" t="s">
        <v>1243</v>
      </c>
      <c r="D22" s="214"/>
      <c r="E22" s="215" t="s">
        <v>6</v>
      </c>
      <c r="F22" s="24">
        <v>32</v>
      </c>
      <c r="G22" s="211">
        <v>63</v>
      </c>
      <c r="H22" s="26">
        <f t="shared" si="1"/>
        <v>2016</v>
      </c>
      <c r="I22" s="44"/>
      <c r="K22" s="43"/>
      <c r="L22" s="48" t="str">
        <f t="shared" si="0"/>
        <v/>
      </c>
      <c r="M22" s="43"/>
      <c r="N22" s="43"/>
    </row>
    <row r="23" spans="2:14" x14ac:dyDescent="0.25">
      <c r="B23" s="14"/>
      <c r="C23" s="15"/>
      <c r="D23" s="15"/>
      <c r="E23" s="23"/>
      <c r="F23" s="23"/>
      <c r="G23" s="43" t="s">
        <v>1556</v>
      </c>
      <c r="H23" s="26" t="str">
        <f t="shared" si="1"/>
        <v/>
      </c>
      <c r="I23" s="44"/>
      <c r="K23" s="43"/>
      <c r="L23" s="48" t="str">
        <f t="shared" si="0"/>
        <v/>
      </c>
      <c r="M23" s="43"/>
      <c r="N23" s="43"/>
    </row>
    <row r="24" spans="2:14" x14ac:dyDescent="0.25">
      <c r="B24" s="14"/>
      <c r="C24" s="15"/>
      <c r="D24" s="15"/>
      <c r="E24" s="23"/>
      <c r="F24" s="23"/>
      <c r="G24" s="43" t="s">
        <v>1556</v>
      </c>
      <c r="H24" s="26"/>
      <c r="I24" s="44"/>
      <c r="K24" s="43"/>
      <c r="L24" s="48" t="str">
        <f t="shared" si="0"/>
        <v/>
      </c>
      <c r="M24" s="43"/>
      <c r="N24" s="43"/>
    </row>
    <row r="25" spans="2:14" x14ac:dyDescent="0.25">
      <c r="B25" s="14"/>
      <c r="C25" s="15"/>
      <c r="D25" s="15"/>
      <c r="E25" s="23"/>
      <c r="F25" s="23"/>
      <c r="G25" s="41" t="s">
        <v>1556</v>
      </c>
      <c r="H25" s="26"/>
      <c r="I25" s="44"/>
      <c r="K25" s="43"/>
      <c r="L25" s="48" t="str">
        <f t="shared" si="0"/>
        <v/>
      </c>
      <c r="M25" s="43"/>
      <c r="N25" s="43"/>
    </row>
    <row r="26" spans="2:14" x14ac:dyDescent="0.25">
      <c r="B26" s="22"/>
      <c r="C26" s="15"/>
      <c r="D26" s="15"/>
      <c r="E26" s="23"/>
      <c r="F26" s="23"/>
      <c r="G26" s="41" t="s">
        <v>1556</v>
      </c>
      <c r="H26" s="26"/>
      <c r="I26" s="44"/>
      <c r="K26" s="43"/>
      <c r="L26" s="48" t="str">
        <f t="shared" si="0"/>
        <v/>
      </c>
      <c r="M26" s="43"/>
      <c r="N26" s="43"/>
    </row>
    <row r="27" spans="2:14" x14ac:dyDescent="0.25">
      <c r="B27" s="22"/>
      <c r="C27" s="15"/>
      <c r="D27" s="15"/>
      <c r="E27" s="23"/>
      <c r="F27" s="23"/>
      <c r="G27" s="41" t="s">
        <v>1556</v>
      </c>
      <c r="H27" s="26"/>
      <c r="I27" s="44"/>
      <c r="K27" s="43"/>
      <c r="L27" s="48" t="str">
        <f t="shared" si="0"/>
        <v/>
      </c>
      <c r="M27" s="43"/>
      <c r="N27" s="43"/>
    </row>
    <row r="28" spans="2:14" x14ac:dyDescent="0.25">
      <c r="B28" s="22"/>
      <c r="C28" s="15"/>
      <c r="D28" s="15"/>
      <c r="E28" s="23"/>
      <c r="F28" s="23"/>
      <c r="G28" s="41" t="s">
        <v>1556</v>
      </c>
      <c r="H28" s="26"/>
      <c r="I28" s="44"/>
      <c r="K28" s="43"/>
      <c r="L28" s="48" t="str">
        <f t="shared" si="0"/>
        <v/>
      </c>
      <c r="M28" s="43"/>
      <c r="N28" s="43"/>
    </row>
    <row r="29" spans="2:14" x14ac:dyDescent="0.25">
      <c r="B29" s="14"/>
      <c r="C29" s="15"/>
      <c r="D29" s="15"/>
      <c r="E29" s="23"/>
      <c r="F29" s="23"/>
      <c r="G29" s="41"/>
      <c r="H29" s="26"/>
      <c r="I29" s="44"/>
      <c r="K29" s="43"/>
      <c r="L29" s="48" t="str">
        <f t="shared" si="0"/>
        <v/>
      </c>
      <c r="M29" s="43"/>
      <c r="N29" s="43"/>
    </row>
    <row r="30" spans="2:14" x14ac:dyDescent="0.25">
      <c r="B30" s="14"/>
      <c r="C30" s="15"/>
      <c r="D30" s="15"/>
      <c r="E30" s="23"/>
      <c r="F30" s="23"/>
      <c r="G30" s="41"/>
      <c r="H30" s="26"/>
      <c r="I30" s="44"/>
      <c r="K30" s="43"/>
      <c r="L30" s="48" t="str">
        <f t="shared" si="0"/>
        <v/>
      </c>
      <c r="M30" s="43"/>
      <c r="N30" s="43"/>
    </row>
    <row r="31" spans="2:14" x14ac:dyDescent="0.25">
      <c r="B31" s="14"/>
      <c r="C31" s="15"/>
      <c r="D31" s="15"/>
      <c r="E31" s="23"/>
      <c r="F31" s="23"/>
      <c r="G31" s="41"/>
      <c r="H31" s="26"/>
      <c r="I31" s="44"/>
      <c r="K31" s="43"/>
      <c r="L31" s="48" t="str">
        <f t="shared" si="0"/>
        <v/>
      </c>
      <c r="M31" s="43"/>
      <c r="N31" s="43"/>
    </row>
    <row r="32" spans="2:14" x14ac:dyDescent="0.25">
      <c r="B32" s="14"/>
      <c r="C32" s="15"/>
      <c r="D32" s="15"/>
      <c r="E32" s="23"/>
      <c r="F32" s="23"/>
      <c r="G32" s="41"/>
      <c r="H32" s="26"/>
      <c r="I32" s="44"/>
      <c r="K32" s="43"/>
      <c r="L32" s="48" t="str">
        <f t="shared" si="0"/>
        <v/>
      </c>
      <c r="M32" s="43"/>
      <c r="N32" s="43"/>
    </row>
    <row r="33" spans="2:14" x14ac:dyDescent="0.25">
      <c r="B33" s="14"/>
      <c r="C33" s="15"/>
      <c r="D33" s="15"/>
      <c r="E33" s="23"/>
      <c r="F33" s="23"/>
      <c r="G33" s="51"/>
      <c r="H33" s="26"/>
      <c r="I33" s="44"/>
      <c r="K33" s="43"/>
      <c r="L33" s="48" t="str">
        <f t="shared" si="0"/>
        <v/>
      </c>
      <c r="M33" s="43"/>
      <c r="N33" s="43"/>
    </row>
    <row r="34" spans="2:14" x14ac:dyDescent="0.25">
      <c r="B34" s="14"/>
      <c r="C34" s="15"/>
      <c r="D34" s="15"/>
      <c r="E34" s="23"/>
      <c r="F34" s="23"/>
      <c r="G34" s="51"/>
      <c r="H34" s="26"/>
      <c r="I34" s="44"/>
      <c r="K34" s="43"/>
      <c r="L34" s="48" t="str">
        <f t="shared" si="0"/>
        <v/>
      </c>
      <c r="M34" s="43"/>
      <c r="N34" s="43"/>
    </row>
    <row r="35" spans="2:14" x14ac:dyDescent="0.25">
      <c r="B35" s="14"/>
      <c r="C35" s="15"/>
      <c r="D35" s="15"/>
      <c r="E35" s="23"/>
      <c r="F35" s="23"/>
      <c r="G35" s="41"/>
      <c r="H35" s="26"/>
      <c r="I35" s="44"/>
      <c r="K35" s="43"/>
      <c r="L35" s="48" t="str">
        <f t="shared" si="0"/>
        <v/>
      </c>
      <c r="M35" s="43"/>
      <c r="N35" s="43"/>
    </row>
    <row r="36" spans="2:14" x14ac:dyDescent="0.25">
      <c r="B36" s="14"/>
      <c r="C36" s="15"/>
      <c r="D36" s="15"/>
      <c r="E36" s="23"/>
      <c r="F36" s="23"/>
      <c r="G36" s="41"/>
      <c r="H36" s="26"/>
      <c r="I36" s="44"/>
      <c r="K36" s="43"/>
      <c r="L36" s="48" t="str">
        <f t="shared" si="0"/>
        <v/>
      </c>
      <c r="M36" s="43"/>
      <c r="N36" s="43"/>
    </row>
    <row r="37" spans="2:14" x14ac:dyDescent="0.25">
      <c r="B37" s="14"/>
      <c r="C37" s="15"/>
      <c r="D37" s="15"/>
      <c r="E37" s="23"/>
      <c r="F37" s="23"/>
      <c r="G37" s="41"/>
      <c r="H37" s="26"/>
      <c r="I37" s="44"/>
      <c r="K37" s="43"/>
      <c r="L37" s="48" t="str">
        <f t="shared" si="0"/>
        <v/>
      </c>
      <c r="M37" s="43"/>
      <c r="N37" s="43"/>
    </row>
    <row r="38" spans="2:14" x14ac:dyDescent="0.25">
      <c r="B38" s="14"/>
      <c r="C38" s="15"/>
      <c r="D38" s="15"/>
      <c r="E38" s="23"/>
      <c r="F38" s="23"/>
      <c r="G38" s="41"/>
      <c r="H38" s="26"/>
      <c r="I38" s="44"/>
      <c r="K38" s="43"/>
      <c r="L38" s="48" t="str">
        <f t="shared" si="0"/>
        <v/>
      </c>
      <c r="M38" s="43"/>
      <c r="N38" s="43"/>
    </row>
    <row r="39" spans="2:14" x14ac:dyDescent="0.25">
      <c r="B39" s="14"/>
      <c r="C39" s="15"/>
      <c r="D39" s="15"/>
      <c r="E39" s="23"/>
      <c r="F39" s="23"/>
      <c r="G39" s="41"/>
      <c r="H39" s="26"/>
      <c r="I39" s="44"/>
      <c r="K39" s="43"/>
      <c r="L39" s="48" t="str">
        <f t="shared" si="0"/>
        <v/>
      </c>
      <c r="M39" s="43"/>
      <c r="N39" s="43"/>
    </row>
    <row r="40" spans="2:14" x14ac:dyDescent="0.25">
      <c r="B40" s="14"/>
      <c r="C40" s="15"/>
      <c r="D40" s="15"/>
      <c r="E40" s="23"/>
      <c r="F40" s="23"/>
      <c r="G40" s="41"/>
      <c r="H40" s="26"/>
      <c r="I40" s="44"/>
      <c r="K40" s="43"/>
      <c r="L40" s="48" t="str">
        <f t="shared" si="0"/>
        <v/>
      </c>
      <c r="M40" s="43"/>
      <c r="N40" s="43"/>
    </row>
    <row r="41" spans="2:14" x14ac:dyDescent="0.25">
      <c r="B41" s="14"/>
      <c r="C41" s="15"/>
      <c r="D41" s="15"/>
      <c r="E41" s="23"/>
      <c r="F41" s="23"/>
      <c r="G41" s="41"/>
      <c r="H41" s="26"/>
      <c r="I41" s="44"/>
      <c r="K41" s="43"/>
      <c r="L41" s="48" t="str">
        <f t="shared" si="0"/>
        <v/>
      </c>
      <c r="M41" s="43"/>
      <c r="N41" s="43"/>
    </row>
    <row r="42" spans="2:14" x14ac:dyDescent="0.25">
      <c r="B42" s="14"/>
      <c r="C42" s="15"/>
      <c r="D42" s="15"/>
      <c r="E42" s="40"/>
      <c r="F42" s="23"/>
      <c r="G42" s="41"/>
      <c r="H42" s="26"/>
      <c r="I42" s="44"/>
      <c r="K42" s="43"/>
      <c r="L42" s="48" t="str">
        <f t="shared" si="0"/>
        <v/>
      </c>
      <c r="M42" s="43"/>
      <c r="N42" s="43"/>
    </row>
    <row r="43" spans="2:14" x14ac:dyDescent="0.25">
      <c r="B43" s="14"/>
      <c r="C43" s="15"/>
      <c r="D43" s="15"/>
      <c r="E43" s="23"/>
      <c r="F43" s="40"/>
      <c r="G43" s="41"/>
      <c r="H43" s="26"/>
      <c r="K43" s="43"/>
      <c r="L43" s="48" t="str">
        <f t="shared" si="0"/>
        <v/>
      </c>
      <c r="M43" s="43"/>
      <c r="N43" s="43"/>
    </row>
    <row r="44" spans="2:14" x14ac:dyDescent="0.25">
      <c r="B44" s="14"/>
      <c r="C44" s="15"/>
      <c r="D44" s="15"/>
      <c r="E44" s="40"/>
      <c r="F44" s="23"/>
      <c r="G44" s="41"/>
      <c r="H44" s="26"/>
      <c r="I44" s="44"/>
      <c r="K44" s="43"/>
      <c r="L44" s="48" t="str">
        <f t="shared" si="0"/>
        <v/>
      </c>
      <c r="M44" s="43"/>
      <c r="N44" s="43"/>
    </row>
    <row r="45" spans="2:14" x14ac:dyDescent="0.25">
      <c r="B45" s="14"/>
      <c r="C45" s="15"/>
      <c r="D45" s="15"/>
      <c r="E45" s="40"/>
      <c r="F45" s="40"/>
      <c r="G45" s="41"/>
      <c r="H45" s="26"/>
      <c r="I45" s="52"/>
      <c r="K45" s="43"/>
      <c r="L45" s="48" t="str">
        <f t="shared" si="0"/>
        <v/>
      </c>
      <c r="M45" s="43"/>
      <c r="N45" s="43"/>
    </row>
    <row r="46" spans="2:14" ht="12.75" customHeight="1" x14ac:dyDescent="0.25">
      <c r="B46" s="14"/>
      <c r="C46" s="15"/>
      <c r="D46" s="15"/>
      <c r="E46" s="23"/>
      <c r="F46" s="40"/>
      <c r="G46" s="41"/>
      <c r="H46" s="26"/>
      <c r="K46" s="43"/>
      <c r="L46" s="48" t="str">
        <f t="shared" si="0"/>
        <v/>
      </c>
      <c r="M46" s="43"/>
      <c r="N46" s="43"/>
    </row>
    <row r="47" spans="2:14" x14ac:dyDescent="0.25">
      <c r="B47" s="14"/>
      <c r="C47" s="15"/>
      <c r="D47" s="15"/>
      <c r="E47" s="23"/>
      <c r="F47" s="23"/>
      <c r="G47" s="41"/>
      <c r="H47" s="26"/>
      <c r="I47" s="44"/>
      <c r="K47" s="43"/>
      <c r="L47" s="48" t="str">
        <f t="shared" ref="L47:L54" si="2">IF(K47="","",K47*F47)</f>
        <v/>
      </c>
      <c r="M47" s="43"/>
      <c r="N47" s="43"/>
    </row>
    <row r="48" spans="2:14" x14ac:dyDescent="0.25">
      <c r="B48" s="14"/>
      <c r="C48" s="15"/>
      <c r="D48" s="15"/>
      <c r="E48" s="23"/>
      <c r="F48" s="23"/>
      <c r="G48" s="41"/>
      <c r="H48" s="26"/>
      <c r="I48" s="44"/>
      <c r="K48" s="43"/>
      <c r="L48" s="48" t="str">
        <f t="shared" si="2"/>
        <v/>
      </c>
      <c r="M48" s="43"/>
      <c r="N48" s="43"/>
    </row>
    <row r="49" spans="2:14" x14ac:dyDescent="0.25">
      <c r="B49" s="14"/>
      <c r="C49" s="15"/>
      <c r="D49" s="15"/>
      <c r="E49" s="23"/>
      <c r="F49" s="23"/>
      <c r="G49" s="41"/>
      <c r="H49" s="26"/>
      <c r="I49" s="44"/>
      <c r="K49" s="43"/>
      <c r="L49" s="48" t="str">
        <f t="shared" si="2"/>
        <v/>
      </c>
      <c r="M49" s="43"/>
      <c r="N49" s="43"/>
    </row>
    <row r="50" spans="2:14" x14ac:dyDescent="0.25">
      <c r="B50" s="14"/>
      <c r="C50" s="15"/>
      <c r="D50" s="15"/>
      <c r="E50" s="23"/>
      <c r="F50" s="23"/>
      <c r="G50" s="41"/>
      <c r="H50" s="26"/>
      <c r="I50" s="44"/>
      <c r="K50" s="43"/>
      <c r="L50" s="48" t="str">
        <f t="shared" si="2"/>
        <v/>
      </c>
      <c r="M50" s="43"/>
      <c r="N50" s="43"/>
    </row>
    <row r="51" spans="2:14" x14ac:dyDescent="0.25">
      <c r="B51" s="14"/>
      <c r="C51" s="15"/>
      <c r="D51" s="15"/>
      <c r="E51" s="23"/>
      <c r="F51" s="23"/>
      <c r="G51" s="41"/>
      <c r="H51" s="26"/>
      <c r="I51" s="44"/>
      <c r="K51" s="43"/>
      <c r="L51" s="48" t="str">
        <f t="shared" si="2"/>
        <v/>
      </c>
      <c r="M51" s="43"/>
      <c r="N51" s="43"/>
    </row>
    <row r="52" spans="2:14" x14ac:dyDescent="0.25">
      <c r="B52" s="14"/>
      <c r="C52" s="15"/>
      <c r="D52" s="15"/>
      <c r="E52" s="23"/>
      <c r="F52" s="23"/>
      <c r="G52" s="41"/>
      <c r="H52" s="26"/>
      <c r="I52" s="44"/>
      <c r="K52" s="43"/>
      <c r="L52" s="48" t="str">
        <f t="shared" si="2"/>
        <v/>
      </c>
      <c r="M52" s="43"/>
      <c r="N52" s="43"/>
    </row>
    <row r="53" spans="2:14" x14ac:dyDescent="0.25">
      <c r="B53" s="14"/>
      <c r="C53" s="15"/>
      <c r="D53" s="15"/>
      <c r="E53" s="23"/>
      <c r="F53" s="23"/>
      <c r="G53" s="41"/>
      <c r="H53" s="26"/>
      <c r="I53" s="44"/>
      <c r="K53" s="43"/>
      <c r="L53" s="48" t="str">
        <f t="shared" si="2"/>
        <v/>
      </c>
      <c r="M53" s="43"/>
      <c r="N53" s="43"/>
    </row>
    <row r="54" spans="2:14" x14ac:dyDescent="0.25">
      <c r="B54" s="22"/>
      <c r="C54" s="15"/>
      <c r="D54" s="15"/>
      <c r="E54" s="23"/>
      <c r="F54" s="23"/>
      <c r="G54" s="41"/>
      <c r="H54" s="26"/>
      <c r="I54" s="44"/>
      <c r="K54" s="43"/>
      <c r="L54" s="48" t="str">
        <f t="shared" si="2"/>
        <v/>
      </c>
      <c r="M54" s="43"/>
      <c r="N54" s="43"/>
    </row>
    <row r="55" spans="2:14" s="31" customFormat="1" x14ac:dyDescent="0.25">
      <c r="B55" s="32" t="str">
        <f>B12</f>
        <v>2/C13.7</v>
      </c>
      <c r="C55" s="33" t="s">
        <v>12</v>
      </c>
      <c r="D55" s="33"/>
      <c r="E55" s="34"/>
      <c r="F55" s="35"/>
      <c r="G55" s="34"/>
      <c r="H55" s="36">
        <f>SUM(H11:H54)</f>
        <v>6006</v>
      </c>
      <c r="I55" s="37"/>
      <c r="L55" s="36">
        <f>SUM(L11:L54)</f>
        <v>0</v>
      </c>
    </row>
  </sheetData>
  <mergeCells count="4">
    <mergeCell ref="F2:H2"/>
    <mergeCell ref="B5:G5"/>
    <mergeCell ref="H5:H8"/>
    <mergeCell ref="B6:G8"/>
  </mergeCells>
  <printOptions horizontalCentered="1"/>
  <pageMargins left="0.43307086614173229" right="0.31496062992125984" top="0.43307086614173229" bottom="0.62992125984251968" header="0.35433070866141736" footer="0.31496062992125984"/>
  <pageSetup paperSize="9" scale="78"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B9CB2-0059-415C-8C0D-9605BD84E69A}">
  <sheetPr>
    <tabColor rgb="FF92D050"/>
  </sheetPr>
  <dimension ref="A1:N44"/>
  <sheetViews>
    <sheetView view="pageBreakPreview" zoomScaleNormal="125" zoomScaleSheetLayoutView="100" zoomScalePageLayoutView="125" workbookViewId="0">
      <selection activeCell="L25" sqref="L25"/>
    </sheetView>
  </sheetViews>
  <sheetFormatPr defaultColWidth="6.6640625" defaultRowHeight="13.2" x14ac:dyDescent="0.25"/>
  <cols>
    <col min="1" max="1" width="0.6640625" style="1" customWidth="1"/>
    <col min="2" max="2" width="11.5546875" style="38" customWidth="1"/>
    <col min="3" max="3" width="45.5546875" style="3" customWidth="1"/>
    <col min="4" max="4" width="4" style="3" customWidth="1"/>
    <col min="5" max="5" width="13.5546875" style="4" customWidth="1"/>
    <col min="6" max="6" width="15.5546875" style="4" customWidth="1"/>
    <col min="7" max="7" width="15.5546875" style="1" customWidth="1"/>
    <col min="8" max="8" width="15.5546875" style="5" customWidth="1"/>
    <col min="9" max="9" width="0.6640625" style="5" customWidth="1"/>
    <col min="10" max="11" width="6.6640625" style="1"/>
    <col min="12" max="12" width="9.6640625" style="1" bestFit="1" customWidth="1"/>
    <col min="13" max="16384" width="6.6640625" style="1"/>
  </cols>
  <sheetData>
    <row r="1" spans="1:14" x14ac:dyDescent="0.25">
      <c r="H1" s="234">
        <f>MAX(H9:H496)</f>
        <v>89603</v>
      </c>
    </row>
    <row r="2" spans="1:14" x14ac:dyDescent="0.25">
      <c r="B2" s="2" t="str">
        <f>Client1</f>
        <v>Province of KwaZulu-Natal</v>
      </c>
      <c r="F2" s="510" t="str">
        <f>"Contract No. "&amp;ContractNo</f>
        <v>Contract No. ZNB02215/00000/00/HOD/INF/23/T</v>
      </c>
      <c r="G2" s="510"/>
      <c r="H2" s="510"/>
      <c r="K2" s="402"/>
      <c r="L2" s="402">
        <f>MAX(L3:L241)</f>
        <v>3947.6000000000004</v>
      </c>
      <c r="M2" s="402"/>
      <c r="N2" s="403"/>
    </row>
    <row r="3" spans="1:14" x14ac:dyDescent="0.25">
      <c r="B3" s="96" t="str">
        <f>Client2</f>
        <v>Department of Transport</v>
      </c>
      <c r="K3" s="1" t="s">
        <v>1421</v>
      </c>
      <c r="L3" s="1" t="s">
        <v>1422</v>
      </c>
      <c r="M3" s="1" t="s">
        <v>1423</v>
      </c>
      <c r="N3" s="1" t="s">
        <v>1424</v>
      </c>
    </row>
    <row r="4" spans="1:14" x14ac:dyDescent="0.25">
      <c r="B4" s="84"/>
      <c r="C4" s="84"/>
      <c r="D4" s="84"/>
      <c r="E4" s="85"/>
      <c r="F4" s="85"/>
      <c r="G4" s="86"/>
      <c r="H4" s="98"/>
      <c r="K4" s="86"/>
      <c r="L4" s="86"/>
      <c r="M4" s="86"/>
      <c r="N4" s="86"/>
    </row>
    <row r="5" spans="1:14" x14ac:dyDescent="0.25">
      <c r="B5" s="507" t="s">
        <v>8</v>
      </c>
      <c r="C5" s="508"/>
      <c r="D5" s="508"/>
      <c r="E5" s="508"/>
      <c r="F5" s="508"/>
      <c r="G5" s="508"/>
      <c r="H5" s="519" t="str">
        <f>"CHAPTER "&amp;B12</f>
        <v>CHAPTER 2/C13.8</v>
      </c>
      <c r="I5" s="6"/>
    </row>
    <row r="6" spans="1:14" ht="7.5" customHeight="1" x14ac:dyDescent="0.25">
      <c r="B6" s="500" t="str">
        <f>ContractDescription</f>
        <v>UPGRADING OF MAIN ROAD P8/3 FROM GRAVEL TO BLACKTOP BETWEEN KM 17.560 AND KM 24.221 IN THE PIETERMARITZBURG REGION</v>
      </c>
      <c r="C6" s="501"/>
      <c r="D6" s="501"/>
      <c r="E6" s="501"/>
      <c r="F6" s="501"/>
      <c r="G6" s="501"/>
      <c r="H6" s="520"/>
      <c r="I6" s="9"/>
    </row>
    <row r="7" spans="1:14" ht="12.75" customHeight="1" x14ac:dyDescent="0.25">
      <c r="B7" s="500"/>
      <c r="C7" s="501"/>
      <c r="D7" s="501"/>
      <c r="E7" s="501"/>
      <c r="F7" s="501"/>
      <c r="G7" s="501"/>
      <c r="H7" s="520"/>
      <c r="I7" s="9"/>
    </row>
    <row r="8" spans="1:14" ht="7.5" customHeight="1" x14ac:dyDescent="0.25">
      <c r="B8" s="502"/>
      <c r="C8" s="503"/>
      <c r="D8" s="503"/>
      <c r="E8" s="503"/>
      <c r="F8" s="503"/>
      <c r="G8" s="503"/>
      <c r="H8" s="521"/>
      <c r="I8" s="9"/>
    </row>
    <row r="9" spans="1:14" s="10" customFormat="1" ht="25.2" customHeight="1" x14ac:dyDescent="0.25">
      <c r="B9" s="11" t="s">
        <v>0</v>
      </c>
      <c r="C9" s="12" t="s">
        <v>1</v>
      </c>
      <c r="D9" s="12" t="s">
        <v>1602</v>
      </c>
      <c r="E9" s="12" t="s">
        <v>2</v>
      </c>
      <c r="F9" s="12" t="s">
        <v>3</v>
      </c>
      <c r="G9" s="12" t="s">
        <v>4</v>
      </c>
      <c r="H9" s="12" t="s">
        <v>5</v>
      </c>
      <c r="I9" s="13"/>
      <c r="K9" s="12"/>
      <c r="L9" s="12"/>
      <c r="M9" s="12"/>
      <c r="N9" s="12"/>
    </row>
    <row r="10" spans="1:14" s="10" customFormat="1" ht="25.2" customHeight="1" x14ac:dyDescent="0.25">
      <c r="B10" s="49"/>
      <c r="C10" s="225" t="s">
        <v>1264</v>
      </c>
      <c r="D10" s="492"/>
      <c r="E10" s="54"/>
      <c r="F10" s="54"/>
      <c r="G10" s="54"/>
      <c r="H10" s="54"/>
      <c r="I10" s="13"/>
      <c r="K10" s="17"/>
      <c r="L10" s="17"/>
      <c r="M10" s="17"/>
      <c r="N10" s="17"/>
    </row>
    <row r="11" spans="1:14" x14ac:dyDescent="0.25">
      <c r="A11" s="5"/>
      <c r="B11" s="53"/>
      <c r="C11" s="15"/>
      <c r="D11" s="15"/>
      <c r="E11" s="16"/>
      <c r="F11" s="16"/>
      <c r="G11" s="17"/>
      <c r="H11" s="18" t="str">
        <f t="shared" ref="H11:H33" si="0">IF(E11="","",F11*G11)</f>
        <v/>
      </c>
      <c r="I11" s="19"/>
      <c r="K11" s="43"/>
      <c r="L11" s="43"/>
      <c r="M11" s="43"/>
      <c r="N11" s="43"/>
    </row>
    <row r="12" spans="1:14" x14ac:dyDescent="0.25">
      <c r="A12" s="5"/>
      <c r="B12" s="80" t="s">
        <v>1299</v>
      </c>
      <c r="C12" s="21" t="s">
        <v>426</v>
      </c>
      <c r="D12" s="21"/>
      <c r="E12" s="23"/>
      <c r="F12" s="23"/>
      <c r="G12" s="43"/>
      <c r="H12" s="18" t="str">
        <f t="shared" si="0"/>
        <v/>
      </c>
      <c r="I12" s="44"/>
      <c r="K12" s="43"/>
      <c r="L12" s="43"/>
      <c r="M12" s="43"/>
      <c r="N12" s="43"/>
    </row>
    <row r="13" spans="1:14" x14ac:dyDescent="0.25">
      <c r="A13" s="5"/>
      <c r="B13" s="80"/>
      <c r="C13" s="15"/>
      <c r="D13" s="15"/>
      <c r="E13" s="23"/>
      <c r="F13" s="23"/>
      <c r="G13" s="43"/>
      <c r="H13" s="18" t="str">
        <f t="shared" si="0"/>
        <v/>
      </c>
      <c r="I13" s="44"/>
      <c r="K13" s="25"/>
      <c r="L13" s="48" t="str">
        <f t="shared" ref="L13:L42" si="1">IF(K13="","",K13*F13)</f>
        <v/>
      </c>
      <c r="M13" s="25"/>
      <c r="N13" s="25"/>
    </row>
    <row r="14" spans="1:14" x14ac:dyDescent="0.25">
      <c r="A14" s="5"/>
      <c r="B14" s="53"/>
      <c r="C14" s="15"/>
      <c r="D14" s="15"/>
      <c r="E14" s="23"/>
      <c r="F14" s="24"/>
      <c r="G14" s="50"/>
      <c r="H14" s="18" t="str">
        <f t="shared" si="0"/>
        <v/>
      </c>
      <c r="I14" s="44"/>
      <c r="K14" s="43"/>
      <c r="L14" s="48" t="str">
        <f t="shared" si="1"/>
        <v/>
      </c>
      <c r="M14" s="43"/>
      <c r="N14" s="43"/>
    </row>
    <row r="15" spans="1:14" x14ac:dyDescent="0.25">
      <c r="A15" s="5"/>
      <c r="B15" s="53" t="s">
        <v>1300</v>
      </c>
      <c r="C15" s="15" t="s">
        <v>427</v>
      </c>
      <c r="D15" s="15"/>
      <c r="E15" s="23"/>
      <c r="F15" s="24"/>
      <c r="G15" s="50"/>
      <c r="H15" s="18" t="str">
        <f t="shared" si="0"/>
        <v/>
      </c>
      <c r="I15" s="44"/>
      <c r="K15" s="43"/>
      <c r="L15" s="48" t="str">
        <f t="shared" si="1"/>
        <v/>
      </c>
      <c r="M15" s="43"/>
      <c r="N15" s="43"/>
    </row>
    <row r="16" spans="1:14" x14ac:dyDescent="0.25">
      <c r="A16" s="5"/>
      <c r="B16" s="53"/>
      <c r="C16" s="15"/>
      <c r="D16" s="15"/>
      <c r="E16" s="23"/>
      <c r="F16" s="23"/>
      <c r="G16" s="43"/>
      <c r="H16" s="18" t="str">
        <f t="shared" si="0"/>
        <v/>
      </c>
      <c r="I16" s="44"/>
      <c r="K16" s="43"/>
      <c r="L16" s="48" t="str">
        <f t="shared" si="1"/>
        <v/>
      </c>
      <c r="M16" s="43"/>
      <c r="N16" s="43"/>
    </row>
    <row r="17" spans="1:14" x14ac:dyDescent="0.25">
      <c r="A17" s="5"/>
      <c r="B17" s="53" t="s">
        <v>1301</v>
      </c>
      <c r="C17" s="15" t="s">
        <v>428</v>
      </c>
      <c r="D17" s="15"/>
      <c r="E17" s="23" t="s">
        <v>44</v>
      </c>
      <c r="F17" s="23">
        <v>2</v>
      </c>
      <c r="G17" s="41">
        <v>158</v>
      </c>
      <c r="H17" s="18">
        <f t="shared" si="0"/>
        <v>316</v>
      </c>
      <c r="I17" s="44"/>
      <c r="K17" s="43">
        <f>G17*5%</f>
        <v>7.9</v>
      </c>
      <c r="L17" s="48">
        <f t="shared" si="1"/>
        <v>15.8</v>
      </c>
      <c r="M17" s="43"/>
      <c r="N17" s="43"/>
    </row>
    <row r="18" spans="1:14" x14ac:dyDescent="0.25">
      <c r="A18" s="5"/>
      <c r="B18" s="53"/>
      <c r="C18" s="15"/>
      <c r="D18" s="15"/>
      <c r="E18" s="23"/>
      <c r="F18" s="23"/>
      <c r="G18" s="41" t="s">
        <v>1556</v>
      </c>
      <c r="H18" s="18" t="str">
        <f t="shared" si="0"/>
        <v/>
      </c>
      <c r="I18" s="44"/>
      <c r="K18" s="43"/>
      <c r="L18" s="48" t="str">
        <f t="shared" si="1"/>
        <v/>
      </c>
      <c r="M18" s="43"/>
      <c r="N18" s="43"/>
    </row>
    <row r="19" spans="1:14" x14ac:dyDescent="0.25">
      <c r="A19" s="5"/>
      <c r="B19" s="53" t="s">
        <v>1302</v>
      </c>
      <c r="C19" s="15" t="s">
        <v>429</v>
      </c>
      <c r="D19" s="15"/>
      <c r="E19" s="23" t="s">
        <v>44</v>
      </c>
      <c r="F19" s="23">
        <v>2</v>
      </c>
      <c r="G19" s="41">
        <v>5250</v>
      </c>
      <c r="H19" s="18">
        <f t="shared" si="0"/>
        <v>10500</v>
      </c>
      <c r="I19" s="44"/>
      <c r="K19" s="43"/>
      <c r="L19" s="48" t="str">
        <f t="shared" si="1"/>
        <v/>
      </c>
      <c r="M19" s="43"/>
      <c r="N19" s="43"/>
    </row>
    <row r="20" spans="1:14" x14ac:dyDescent="0.25">
      <c r="A20" s="5"/>
      <c r="B20" s="53"/>
      <c r="C20" s="15"/>
      <c r="D20" s="15"/>
      <c r="E20" s="23"/>
      <c r="F20" s="23"/>
      <c r="G20" s="41" t="s">
        <v>1556</v>
      </c>
      <c r="H20" s="18" t="str">
        <f t="shared" si="0"/>
        <v/>
      </c>
      <c r="I20" s="44"/>
      <c r="K20" s="43"/>
      <c r="L20" s="48" t="str">
        <f t="shared" si="1"/>
        <v/>
      </c>
      <c r="M20" s="43"/>
      <c r="N20" s="43"/>
    </row>
    <row r="21" spans="1:14" ht="15.6" x14ac:dyDescent="0.25">
      <c r="A21" s="5"/>
      <c r="B21" s="53" t="s">
        <v>1303</v>
      </c>
      <c r="C21" s="15" t="s">
        <v>1236</v>
      </c>
      <c r="D21" s="15"/>
      <c r="E21" s="23" t="s">
        <v>34</v>
      </c>
      <c r="F21" s="23">
        <v>10</v>
      </c>
      <c r="G21" s="41">
        <v>3990</v>
      </c>
      <c r="H21" s="18">
        <f t="shared" si="0"/>
        <v>39900</v>
      </c>
      <c r="I21" s="44"/>
      <c r="K21" s="43">
        <f>G21*5%</f>
        <v>199.5</v>
      </c>
      <c r="L21" s="48">
        <f t="shared" si="1"/>
        <v>1995</v>
      </c>
      <c r="M21" s="43"/>
      <c r="N21" s="43"/>
    </row>
    <row r="22" spans="1:14" x14ac:dyDescent="0.25">
      <c r="A22" s="5"/>
      <c r="B22" s="53"/>
      <c r="C22" s="15"/>
      <c r="D22" s="15"/>
      <c r="E22" s="23"/>
      <c r="F22" s="23"/>
      <c r="G22" s="41" t="s">
        <v>1556</v>
      </c>
      <c r="H22" s="18" t="str">
        <f t="shared" si="0"/>
        <v/>
      </c>
      <c r="I22" s="44"/>
      <c r="K22" s="43"/>
      <c r="L22" s="48" t="str">
        <f t="shared" si="1"/>
        <v/>
      </c>
      <c r="M22" s="43"/>
      <c r="N22" s="43"/>
    </row>
    <row r="23" spans="1:14" x14ac:dyDescent="0.25">
      <c r="A23" s="5"/>
      <c r="B23" s="53" t="s">
        <v>1304</v>
      </c>
      <c r="C23" s="15" t="s">
        <v>430</v>
      </c>
      <c r="D23" s="15"/>
      <c r="E23" s="23"/>
      <c r="F23" s="23"/>
      <c r="G23" s="41" t="s">
        <v>1556</v>
      </c>
      <c r="H23" s="18" t="str">
        <f t="shared" si="0"/>
        <v/>
      </c>
      <c r="I23" s="44"/>
      <c r="K23" s="43"/>
      <c r="L23" s="48" t="str">
        <f t="shared" si="1"/>
        <v/>
      </c>
      <c r="M23" s="43"/>
      <c r="N23" s="43"/>
    </row>
    <row r="24" spans="1:14" x14ac:dyDescent="0.25">
      <c r="A24" s="5"/>
      <c r="B24" s="53"/>
      <c r="C24" s="15"/>
      <c r="D24" s="15"/>
      <c r="E24" s="23"/>
      <c r="F24" s="23"/>
      <c r="G24" s="41" t="s">
        <v>1556</v>
      </c>
      <c r="H24" s="18" t="str">
        <f t="shared" si="0"/>
        <v/>
      </c>
      <c r="I24" s="44"/>
      <c r="K24" s="43"/>
      <c r="L24" s="48" t="str">
        <f t="shared" si="1"/>
        <v/>
      </c>
      <c r="M24" s="43"/>
      <c r="N24" s="43"/>
    </row>
    <row r="25" spans="1:14" x14ac:dyDescent="0.25">
      <c r="A25" s="5"/>
      <c r="B25" s="53" t="s">
        <v>1305</v>
      </c>
      <c r="C25" s="15" t="s">
        <v>431</v>
      </c>
      <c r="D25" s="15"/>
      <c r="E25" s="23"/>
      <c r="F25" s="23"/>
      <c r="G25" s="41" t="s">
        <v>1556</v>
      </c>
      <c r="H25" s="18" t="str">
        <f t="shared" si="0"/>
        <v/>
      </c>
      <c r="I25" s="44"/>
      <c r="K25" s="43"/>
      <c r="L25" s="48" t="str">
        <f t="shared" si="1"/>
        <v/>
      </c>
      <c r="M25" s="43"/>
      <c r="N25" s="43"/>
    </row>
    <row r="26" spans="1:14" x14ac:dyDescent="0.25">
      <c r="A26" s="5"/>
      <c r="B26" s="53"/>
      <c r="C26" s="15"/>
      <c r="D26" s="15"/>
      <c r="E26" s="23"/>
      <c r="F26" s="23"/>
      <c r="G26" s="41" t="s">
        <v>1556</v>
      </c>
      <c r="H26" s="18" t="str">
        <f t="shared" si="0"/>
        <v/>
      </c>
      <c r="I26" s="44"/>
      <c r="K26" s="43"/>
      <c r="L26" s="48" t="str">
        <f t="shared" si="1"/>
        <v/>
      </c>
      <c r="M26" s="43"/>
      <c r="N26" s="43"/>
    </row>
    <row r="27" spans="1:14" x14ac:dyDescent="0.25">
      <c r="A27" s="5"/>
      <c r="B27" s="53" t="s">
        <v>49</v>
      </c>
      <c r="C27" s="15" t="s">
        <v>1237</v>
      </c>
      <c r="D27" s="15"/>
      <c r="E27" s="23" t="s">
        <v>6</v>
      </c>
      <c r="F27" s="23">
        <v>57</v>
      </c>
      <c r="G27" s="41">
        <v>126</v>
      </c>
      <c r="H27" s="18">
        <f t="shared" si="0"/>
        <v>7182</v>
      </c>
      <c r="I27" s="44"/>
      <c r="K27" s="43"/>
      <c r="L27" s="48" t="str">
        <f t="shared" si="1"/>
        <v/>
      </c>
      <c r="M27" s="43"/>
      <c r="N27" s="43"/>
    </row>
    <row r="28" spans="1:14" x14ac:dyDescent="0.25">
      <c r="A28" s="5"/>
      <c r="B28" s="53"/>
      <c r="C28" s="15"/>
      <c r="D28" s="15"/>
      <c r="E28" s="23"/>
      <c r="F28" s="23"/>
      <c r="G28" s="41" t="s">
        <v>1556</v>
      </c>
      <c r="H28" s="18" t="str">
        <f t="shared" si="0"/>
        <v/>
      </c>
      <c r="I28" s="44"/>
      <c r="K28" s="43"/>
      <c r="L28" s="48" t="str">
        <f t="shared" si="1"/>
        <v/>
      </c>
      <c r="M28" s="43"/>
      <c r="N28" s="43"/>
    </row>
    <row r="29" spans="1:14" x14ac:dyDescent="0.25">
      <c r="A29" s="5"/>
      <c r="B29" s="53" t="s">
        <v>1306</v>
      </c>
      <c r="C29" s="15" t="s">
        <v>432</v>
      </c>
      <c r="D29" s="15"/>
      <c r="E29" s="40"/>
      <c r="F29" s="23"/>
      <c r="G29" s="41" t="s">
        <v>1556</v>
      </c>
      <c r="H29" s="18" t="str">
        <f t="shared" si="0"/>
        <v/>
      </c>
      <c r="I29" s="44"/>
      <c r="K29" s="43"/>
      <c r="L29" s="48" t="str">
        <f t="shared" si="1"/>
        <v/>
      </c>
      <c r="M29" s="43"/>
      <c r="N29" s="43"/>
    </row>
    <row r="30" spans="1:14" x14ac:dyDescent="0.25">
      <c r="A30" s="5"/>
      <c r="B30" s="53"/>
      <c r="C30" s="15"/>
      <c r="D30" s="15"/>
      <c r="E30" s="23"/>
      <c r="F30" s="40"/>
      <c r="G30" s="41" t="s">
        <v>1556</v>
      </c>
      <c r="H30" s="18" t="str">
        <f t="shared" si="0"/>
        <v/>
      </c>
      <c r="K30" s="43"/>
      <c r="L30" s="48" t="str">
        <f t="shared" si="1"/>
        <v/>
      </c>
      <c r="M30" s="43"/>
      <c r="N30" s="43"/>
    </row>
    <row r="31" spans="1:14" x14ac:dyDescent="0.25">
      <c r="A31" s="5"/>
      <c r="B31" s="53" t="s">
        <v>49</v>
      </c>
      <c r="C31" s="15" t="s">
        <v>1238</v>
      </c>
      <c r="D31" s="15"/>
      <c r="E31" s="40" t="s">
        <v>6</v>
      </c>
      <c r="F31" s="23">
        <v>32</v>
      </c>
      <c r="G31" s="41">
        <v>95</v>
      </c>
      <c r="H31" s="18">
        <f t="shared" si="0"/>
        <v>3040</v>
      </c>
      <c r="I31" s="44"/>
      <c r="K31" s="43">
        <f>_Subsoil</f>
        <v>8</v>
      </c>
      <c r="L31" s="48">
        <f t="shared" si="1"/>
        <v>256</v>
      </c>
      <c r="M31" s="43"/>
      <c r="N31" s="43"/>
    </row>
    <row r="32" spans="1:14" x14ac:dyDescent="0.25">
      <c r="A32" s="5"/>
      <c r="B32" s="53"/>
      <c r="C32" s="15"/>
      <c r="D32" s="15"/>
      <c r="E32" s="23"/>
      <c r="F32" s="23"/>
      <c r="G32" s="41" t="s">
        <v>1556</v>
      </c>
      <c r="H32" s="18" t="str">
        <f t="shared" si="0"/>
        <v/>
      </c>
      <c r="I32" s="44"/>
      <c r="K32" s="43"/>
      <c r="L32" s="48" t="str">
        <f t="shared" si="1"/>
        <v/>
      </c>
      <c r="M32" s="43"/>
      <c r="N32" s="43"/>
    </row>
    <row r="33" spans="1:14" ht="15.6" x14ac:dyDescent="0.25">
      <c r="A33" s="5"/>
      <c r="B33" s="53" t="s">
        <v>1307</v>
      </c>
      <c r="C33" s="15" t="s">
        <v>1241</v>
      </c>
      <c r="D33" s="15"/>
      <c r="E33" s="23" t="s">
        <v>80</v>
      </c>
      <c r="F33" s="23">
        <v>36</v>
      </c>
      <c r="G33" s="41">
        <v>105</v>
      </c>
      <c r="H33" s="18">
        <f t="shared" si="0"/>
        <v>3780</v>
      </c>
      <c r="I33" s="44"/>
      <c r="K33" s="43">
        <f>_Geofabric</f>
        <v>5.3</v>
      </c>
      <c r="L33" s="48">
        <f t="shared" si="1"/>
        <v>190.79999999999998</v>
      </c>
      <c r="M33" s="43"/>
      <c r="N33" s="43"/>
    </row>
    <row r="34" spans="1:14" ht="12.75" customHeight="1" x14ac:dyDescent="0.25">
      <c r="A34" s="5"/>
      <c r="B34" s="53"/>
      <c r="C34" s="15"/>
      <c r="D34" s="15"/>
      <c r="E34" s="23"/>
      <c r="F34" s="23"/>
      <c r="G34" s="41" t="s">
        <v>1556</v>
      </c>
      <c r="H34" s="18"/>
      <c r="I34" s="44"/>
      <c r="K34" s="43"/>
      <c r="L34" s="48" t="str">
        <f t="shared" si="1"/>
        <v/>
      </c>
      <c r="M34" s="43"/>
      <c r="N34" s="43"/>
    </row>
    <row r="35" spans="1:14" ht="15.6" x14ac:dyDescent="0.25">
      <c r="A35" s="5"/>
      <c r="B35" s="53" t="s">
        <v>1308</v>
      </c>
      <c r="C35" s="15" t="s">
        <v>1512</v>
      </c>
      <c r="D35" s="15"/>
      <c r="E35" s="23" t="s">
        <v>34</v>
      </c>
      <c r="F35" s="23">
        <v>2</v>
      </c>
      <c r="G35" s="41">
        <v>630</v>
      </c>
      <c r="H35" s="18">
        <f>IF(E35="","",F35*G35)</f>
        <v>1260</v>
      </c>
      <c r="I35" s="44"/>
      <c r="K35" s="43">
        <f>_Backfill</f>
        <v>45</v>
      </c>
      <c r="L35" s="48">
        <f t="shared" si="1"/>
        <v>90</v>
      </c>
      <c r="M35" s="43"/>
      <c r="N35" s="43"/>
    </row>
    <row r="36" spans="1:14" x14ac:dyDescent="0.25">
      <c r="A36" s="5"/>
      <c r="B36" s="53"/>
      <c r="C36" s="15"/>
      <c r="D36" s="15"/>
      <c r="E36" s="23"/>
      <c r="F36" s="23"/>
      <c r="G36" s="41" t="s">
        <v>1556</v>
      </c>
      <c r="H36" s="18" t="str">
        <f>IF(E36="","",F36*G36)</f>
        <v/>
      </c>
      <c r="I36" s="44"/>
      <c r="K36" s="43"/>
      <c r="L36" s="48" t="str">
        <f t="shared" si="1"/>
        <v/>
      </c>
      <c r="M36" s="43"/>
      <c r="N36" s="43"/>
    </row>
    <row r="37" spans="1:14" x14ac:dyDescent="0.25">
      <c r="A37" s="5"/>
      <c r="B37" s="53" t="s">
        <v>1309</v>
      </c>
      <c r="C37" s="15" t="s">
        <v>1240</v>
      </c>
      <c r="D37" s="15"/>
      <c r="E37" s="23" t="s">
        <v>6</v>
      </c>
      <c r="F37" s="23">
        <v>125</v>
      </c>
      <c r="G37" s="41">
        <v>105</v>
      </c>
      <c r="H37" s="18">
        <f>IF(E37="","",F37*G37)</f>
        <v>13125</v>
      </c>
      <c r="I37" s="44"/>
      <c r="K37" s="43">
        <f>_Subsoil</f>
        <v>8</v>
      </c>
      <c r="L37" s="48">
        <f t="shared" si="1"/>
        <v>1000</v>
      </c>
      <c r="M37" s="43"/>
      <c r="N37" s="43"/>
    </row>
    <row r="38" spans="1:14" x14ac:dyDescent="0.25">
      <c r="A38" s="5"/>
      <c r="B38" s="53"/>
      <c r="C38" s="15"/>
      <c r="D38" s="15"/>
      <c r="E38" s="23"/>
      <c r="F38" s="23"/>
      <c r="G38" s="41" t="s">
        <v>1556</v>
      </c>
      <c r="H38" s="18"/>
      <c r="I38" s="44"/>
      <c r="K38" s="43"/>
      <c r="L38" s="48" t="str">
        <f t="shared" si="1"/>
        <v/>
      </c>
      <c r="M38" s="43"/>
      <c r="N38" s="43"/>
    </row>
    <row r="39" spans="1:14" x14ac:dyDescent="0.25">
      <c r="A39" s="5"/>
      <c r="B39" s="53" t="s">
        <v>1310</v>
      </c>
      <c r="C39" s="15" t="s">
        <v>433</v>
      </c>
      <c r="D39" s="15"/>
      <c r="E39" s="23"/>
      <c r="F39" s="23"/>
      <c r="G39" s="41" t="s">
        <v>1556</v>
      </c>
      <c r="H39" s="18" t="str">
        <f>IF(E39="","",F39*G39)</f>
        <v/>
      </c>
      <c r="I39" s="44"/>
      <c r="K39" s="43"/>
      <c r="L39" s="48" t="str">
        <f t="shared" si="1"/>
        <v/>
      </c>
      <c r="M39" s="43"/>
      <c r="N39" s="43"/>
    </row>
    <row r="40" spans="1:14" x14ac:dyDescent="0.25">
      <c r="A40" s="5"/>
      <c r="B40" s="53"/>
      <c r="C40" s="15"/>
      <c r="D40" s="15"/>
      <c r="E40" s="23"/>
      <c r="F40" s="23"/>
      <c r="G40" s="41" t="s">
        <v>1556</v>
      </c>
      <c r="H40" s="18" t="str">
        <f>IF(E40="","",F40*G40)</f>
        <v/>
      </c>
      <c r="I40" s="44"/>
      <c r="K40" s="43"/>
      <c r="L40" s="48" t="str">
        <f t="shared" si="1"/>
        <v/>
      </c>
      <c r="M40" s="43"/>
      <c r="N40" s="43"/>
    </row>
    <row r="41" spans="1:14" ht="39.6" x14ac:dyDescent="0.25">
      <c r="A41" s="5"/>
      <c r="B41" s="53" t="s">
        <v>1311</v>
      </c>
      <c r="C41" s="15" t="s">
        <v>1239</v>
      </c>
      <c r="D41" s="15"/>
      <c r="E41" s="23" t="s">
        <v>6</v>
      </c>
      <c r="F41" s="23">
        <v>50</v>
      </c>
      <c r="G41" s="41">
        <v>210</v>
      </c>
      <c r="H41" s="18">
        <f>IF(E41="","",F41*G41)</f>
        <v>10500</v>
      </c>
      <c r="I41" s="44"/>
      <c r="K41" s="43">
        <f>_Subsoil</f>
        <v>8</v>
      </c>
      <c r="L41" s="48">
        <f t="shared" si="1"/>
        <v>400</v>
      </c>
      <c r="M41" s="43"/>
      <c r="N41" s="43"/>
    </row>
    <row r="42" spans="1:14" x14ac:dyDescent="0.25">
      <c r="A42" s="5"/>
      <c r="B42" s="53"/>
      <c r="C42" s="15"/>
      <c r="D42" s="15"/>
      <c r="E42" s="23"/>
      <c r="F42" s="23"/>
      <c r="G42" s="41"/>
      <c r="H42" s="18"/>
      <c r="I42" s="44"/>
      <c r="K42" s="43"/>
      <c r="L42" s="48" t="str">
        <f t="shared" si="1"/>
        <v/>
      </c>
      <c r="M42" s="43"/>
      <c r="N42" s="43"/>
    </row>
    <row r="43" spans="1:14" x14ac:dyDescent="0.25">
      <c r="A43" s="5"/>
      <c r="B43" s="53"/>
      <c r="C43" s="15"/>
      <c r="D43" s="15"/>
      <c r="E43" s="23"/>
      <c r="F43" s="23"/>
      <c r="G43" s="41"/>
      <c r="H43" s="18" t="str">
        <f>IF(E43="","",F43*G43)</f>
        <v/>
      </c>
      <c r="I43" s="44"/>
      <c r="K43" s="43"/>
      <c r="L43" s="48" t="str">
        <f>IF(K43="","",K43*F43)</f>
        <v/>
      </c>
      <c r="M43" s="43"/>
      <c r="N43" s="43"/>
    </row>
    <row r="44" spans="1:14" s="31" customFormat="1" ht="19.5" customHeight="1" x14ac:dyDescent="0.25">
      <c r="B44" s="151" t="str">
        <f>$B$12</f>
        <v>2/C13.8</v>
      </c>
      <c r="C44" s="33" t="s">
        <v>957</v>
      </c>
      <c r="D44" s="33"/>
      <c r="E44" s="34"/>
      <c r="F44" s="35"/>
      <c r="G44" s="34"/>
      <c r="H44" s="36">
        <f>SUM(H11:H43)</f>
        <v>89603</v>
      </c>
      <c r="I44" s="37"/>
      <c r="L44" s="36">
        <f>SUM(L11:L43)</f>
        <v>3947.6000000000004</v>
      </c>
    </row>
  </sheetData>
  <mergeCells count="4">
    <mergeCell ref="F2:H2"/>
    <mergeCell ref="B5:G5"/>
    <mergeCell ref="H5:H8"/>
    <mergeCell ref="B6:G8"/>
  </mergeCells>
  <printOptions horizontalCentered="1"/>
  <pageMargins left="0.43307086614173229" right="0.31496062992125984" top="0.43307086614173229" bottom="0.62992125984251968" header="0.35433070866141736" footer="0.31496062992125984"/>
  <pageSetup paperSize="9" scale="79"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D9691-0578-4D15-B1B6-E49BC631C68C}">
  <sheetPr>
    <tabColor rgb="FF92D050"/>
  </sheetPr>
  <dimension ref="B1:N62"/>
  <sheetViews>
    <sheetView view="pageBreakPreview" topLeftCell="A41" zoomScaleNormal="125" zoomScaleSheetLayoutView="100" zoomScalePageLayoutView="125" workbookViewId="0">
      <selection activeCell="L25" sqref="L25"/>
    </sheetView>
  </sheetViews>
  <sheetFormatPr defaultColWidth="6.6640625" defaultRowHeight="13.2" x14ac:dyDescent="0.25"/>
  <cols>
    <col min="1" max="1" width="0.6640625" style="1" customWidth="1"/>
    <col min="2" max="2" width="11.5546875" style="38" customWidth="1"/>
    <col min="3" max="3" width="45.5546875" style="3" customWidth="1"/>
    <col min="4" max="4" width="4.664062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1" width="6.6640625" style="1"/>
    <col min="12" max="12" width="10.6640625" style="1" bestFit="1" customWidth="1"/>
    <col min="13" max="16384" width="6.6640625" style="1"/>
  </cols>
  <sheetData>
    <row r="1" spans="2:14" x14ac:dyDescent="0.25">
      <c r="H1" s="234">
        <f>MAX(H9:H496)</f>
        <v>132986</v>
      </c>
    </row>
    <row r="2" spans="2:14" x14ac:dyDescent="0.25">
      <c r="B2" s="2" t="str">
        <f>Client1</f>
        <v>Province of KwaZulu-Natal</v>
      </c>
      <c r="F2" s="510" t="str">
        <f>"Contract No. "&amp;ContractNo</f>
        <v>Contract No. ZNB02215/00000/00/HOD/INF/23/T</v>
      </c>
      <c r="G2" s="510"/>
      <c r="H2" s="510"/>
      <c r="K2" s="402"/>
      <c r="L2" s="402">
        <f>MAX(L3:L241)</f>
        <v>33964.400000000001</v>
      </c>
      <c r="M2" s="402"/>
      <c r="N2" s="403"/>
    </row>
    <row r="3" spans="2:14" x14ac:dyDescent="0.25">
      <c r="B3" s="96" t="str">
        <f>Client2</f>
        <v>Department of Transport</v>
      </c>
      <c r="K3" s="1" t="s">
        <v>1421</v>
      </c>
      <c r="L3" s="1" t="s">
        <v>1422</v>
      </c>
      <c r="M3" s="1" t="s">
        <v>1423</v>
      </c>
      <c r="N3" s="1" t="s">
        <v>1424</v>
      </c>
    </row>
    <row r="4" spans="2:14" x14ac:dyDescent="0.25">
      <c r="B4" s="84"/>
      <c r="C4" s="84"/>
      <c r="D4" s="84"/>
      <c r="E4" s="85"/>
      <c r="F4" s="85"/>
      <c r="G4" s="86"/>
      <c r="H4" s="98"/>
      <c r="K4" s="86"/>
      <c r="L4" s="86"/>
      <c r="M4" s="86"/>
      <c r="N4" s="86"/>
    </row>
    <row r="5" spans="2:14" x14ac:dyDescent="0.25">
      <c r="B5" s="507" t="s">
        <v>8</v>
      </c>
      <c r="C5" s="508"/>
      <c r="D5" s="508"/>
      <c r="E5" s="508"/>
      <c r="F5" s="508"/>
      <c r="G5" s="508"/>
      <c r="H5" s="519" t="str">
        <f>"CHAPTER "&amp;B12</f>
        <v>CHAPTER 3/C13.1</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20"/>
      <c r="I6" s="9"/>
    </row>
    <row r="7" spans="2:14" ht="12.75" customHeight="1" x14ac:dyDescent="0.25">
      <c r="B7" s="500"/>
      <c r="C7" s="501"/>
      <c r="D7" s="501"/>
      <c r="E7" s="501"/>
      <c r="F7" s="501"/>
      <c r="G7" s="501"/>
      <c r="H7" s="520"/>
      <c r="I7" s="9"/>
    </row>
    <row r="8" spans="2:14" ht="7.5" customHeight="1" x14ac:dyDescent="0.25">
      <c r="B8" s="502"/>
      <c r="C8" s="503"/>
      <c r="D8" s="503"/>
      <c r="E8" s="503"/>
      <c r="F8" s="503"/>
      <c r="G8" s="503"/>
      <c r="H8" s="521"/>
      <c r="I8" s="9"/>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53"/>
      <c r="C10" s="225" t="s">
        <v>1312</v>
      </c>
      <c r="D10" s="492"/>
      <c r="E10" s="16"/>
      <c r="F10" s="16"/>
      <c r="G10" s="17"/>
      <c r="H10" s="18" t="str">
        <f t="shared" ref="H10:H61" si="0">IF(E10="","",F10*G10)</f>
        <v/>
      </c>
      <c r="I10" s="19"/>
      <c r="K10" s="17"/>
      <c r="L10" s="17"/>
      <c r="M10" s="17"/>
      <c r="N10" s="17"/>
    </row>
    <row r="11" spans="2:14" x14ac:dyDescent="0.25">
      <c r="B11" s="80"/>
      <c r="C11" s="21"/>
      <c r="D11" s="21"/>
      <c r="E11" s="23"/>
      <c r="F11" s="23"/>
      <c r="G11" s="43"/>
      <c r="H11" s="18"/>
      <c r="I11" s="44"/>
      <c r="K11" s="43"/>
      <c r="L11" s="43"/>
      <c r="M11" s="43"/>
      <c r="N11" s="43"/>
    </row>
    <row r="12" spans="2:14" x14ac:dyDescent="0.25">
      <c r="B12" s="80" t="s">
        <v>1314</v>
      </c>
      <c r="C12" s="21" t="s">
        <v>400</v>
      </c>
      <c r="D12" s="21"/>
      <c r="E12" s="23"/>
      <c r="F12" s="23"/>
      <c r="G12" s="43"/>
      <c r="H12" s="18" t="str">
        <f t="shared" si="0"/>
        <v/>
      </c>
      <c r="I12" s="44"/>
      <c r="K12" s="43"/>
      <c r="L12" s="43"/>
      <c r="M12" s="43"/>
      <c r="N12" s="43"/>
    </row>
    <row r="13" spans="2:14" x14ac:dyDescent="0.25">
      <c r="B13" s="53"/>
      <c r="C13" s="15"/>
      <c r="D13" s="15"/>
      <c r="E13" s="23"/>
      <c r="F13" s="23"/>
      <c r="G13" s="43"/>
      <c r="H13" s="18" t="str">
        <f t="shared" si="0"/>
        <v/>
      </c>
      <c r="I13" s="44"/>
      <c r="K13" s="25"/>
      <c r="L13" s="48" t="str">
        <f t="shared" ref="L13:L61" si="1">IF(K13="","",K13*F13)</f>
        <v/>
      </c>
      <c r="M13" s="25"/>
      <c r="N13" s="25"/>
    </row>
    <row r="14" spans="2:14" x14ac:dyDescent="0.25">
      <c r="B14" s="53"/>
      <c r="C14" s="15"/>
      <c r="D14" s="15"/>
      <c r="E14" s="23"/>
      <c r="F14" s="24"/>
      <c r="G14" s="46"/>
      <c r="H14" s="18" t="str">
        <f t="shared" si="0"/>
        <v/>
      </c>
      <c r="I14" s="44"/>
      <c r="K14" s="43"/>
      <c r="L14" s="48" t="str">
        <f t="shared" si="1"/>
        <v/>
      </c>
      <c r="M14" s="43"/>
      <c r="N14" s="43"/>
    </row>
    <row r="15" spans="2:14" x14ac:dyDescent="0.25">
      <c r="B15" s="53" t="s">
        <v>1313</v>
      </c>
      <c r="C15" s="15" t="s">
        <v>401</v>
      </c>
      <c r="D15" s="15"/>
      <c r="E15" s="23"/>
      <c r="F15" s="24"/>
      <c r="G15" s="48"/>
      <c r="H15" s="18" t="str">
        <f t="shared" si="0"/>
        <v/>
      </c>
      <c r="K15" s="43"/>
      <c r="L15" s="48" t="str">
        <f t="shared" si="1"/>
        <v/>
      </c>
      <c r="M15" s="43"/>
      <c r="N15" s="43"/>
    </row>
    <row r="16" spans="2:14" x14ac:dyDescent="0.25">
      <c r="B16" s="53"/>
      <c r="C16" s="1"/>
      <c r="D16" s="48"/>
      <c r="E16" s="23"/>
      <c r="F16" s="24"/>
      <c r="G16" s="48"/>
      <c r="H16" s="18" t="str">
        <f t="shared" si="0"/>
        <v/>
      </c>
      <c r="K16" s="43"/>
      <c r="L16" s="48" t="str">
        <f t="shared" si="1"/>
        <v/>
      </c>
      <c r="M16" s="43"/>
      <c r="N16" s="43"/>
    </row>
    <row r="17" spans="2:14" ht="26.4" x14ac:dyDescent="0.25">
      <c r="B17" s="53" t="s">
        <v>1315</v>
      </c>
      <c r="C17" s="15" t="s">
        <v>402</v>
      </c>
      <c r="D17" s="15"/>
      <c r="E17" s="23"/>
      <c r="F17" s="24"/>
      <c r="G17" s="41"/>
      <c r="H17" s="18" t="str">
        <f t="shared" si="0"/>
        <v/>
      </c>
      <c r="K17" s="43"/>
      <c r="L17" s="48" t="str">
        <f t="shared" si="1"/>
        <v/>
      </c>
      <c r="M17" s="43"/>
      <c r="N17" s="43"/>
    </row>
    <row r="18" spans="2:14" x14ac:dyDescent="0.25">
      <c r="B18" s="53"/>
      <c r="C18" s="15"/>
      <c r="D18" s="15"/>
      <c r="E18" s="23"/>
      <c r="F18" s="24"/>
      <c r="G18" s="48"/>
      <c r="H18" s="18" t="str">
        <f t="shared" si="0"/>
        <v/>
      </c>
      <c r="K18" s="43"/>
      <c r="L18" s="48" t="str">
        <f t="shared" si="1"/>
        <v/>
      </c>
      <c r="M18" s="43"/>
      <c r="N18" s="43"/>
    </row>
    <row r="19" spans="2:14" ht="15.6" x14ac:dyDescent="0.25">
      <c r="B19" s="53" t="s">
        <v>49</v>
      </c>
      <c r="C19" s="15" t="s">
        <v>403</v>
      </c>
      <c r="D19" s="23" t="s">
        <v>1602</v>
      </c>
      <c r="E19" s="23" t="s">
        <v>34</v>
      </c>
      <c r="F19" s="24">
        <v>20</v>
      </c>
      <c r="G19" s="211">
        <v>100</v>
      </c>
      <c r="H19" s="18">
        <f t="shared" si="0"/>
        <v>2000</v>
      </c>
      <c r="K19" s="43">
        <f>G19*5%</f>
        <v>5</v>
      </c>
      <c r="L19" s="48">
        <f t="shared" si="1"/>
        <v>100</v>
      </c>
      <c r="M19" s="43"/>
      <c r="N19" s="43"/>
    </row>
    <row r="20" spans="2:14" x14ac:dyDescent="0.25">
      <c r="B20" s="53"/>
      <c r="C20" s="15"/>
      <c r="D20" s="15"/>
      <c r="E20" s="23"/>
      <c r="F20" s="24"/>
      <c r="G20" s="48" t="s">
        <v>1556</v>
      </c>
      <c r="H20" s="18" t="str">
        <f t="shared" si="0"/>
        <v/>
      </c>
      <c r="K20" s="43"/>
      <c r="L20" s="48" t="str">
        <f t="shared" si="1"/>
        <v/>
      </c>
      <c r="M20" s="43"/>
      <c r="N20" s="43"/>
    </row>
    <row r="21" spans="2:14" ht="15.6" x14ac:dyDescent="0.25">
      <c r="B21" s="53" t="s">
        <v>51</v>
      </c>
      <c r="C21" s="15" t="s">
        <v>404</v>
      </c>
      <c r="D21" s="15"/>
      <c r="E21" s="23" t="s">
        <v>34</v>
      </c>
      <c r="F21" s="24">
        <v>16</v>
      </c>
      <c r="G21" s="211">
        <v>100</v>
      </c>
      <c r="H21" s="18">
        <f t="shared" si="0"/>
        <v>1600</v>
      </c>
      <c r="I21" s="45"/>
      <c r="K21" s="43">
        <f>G21*5%</f>
        <v>5</v>
      </c>
      <c r="L21" s="48">
        <f t="shared" si="1"/>
        <v>80</v>
      </c>
      <c r="M21" s="43"/>
      <c r="N21" s="43"/>
    </row>
    <row r="22" spans="2:14" x14ac:dyDescent="0.25">
      <c r="B22" s="53"/>
      <c r="C22" s="15"/>
      <c r="D22" s="15"/>
      <c r="E22" s="23"/>
      <c r="F22" s="27"/>
      <c r="G22" s="211" t="s">
        <v>1556</v>
      </c>
      <c r="H22" s="18" t="str">
        <f t="shared" si="0"/>
        <v/>
      </c>
      <c r="I22" s="19"/>
      <c r="K22" s="43"/>
      <c r="L22" s="48" t="str">
        <f t="shared" si="1"/>
        <v/>
      </c>
      <c r="M22" s="43"/>
      <c r="N22" s="43"/>
    </row>
    <row r="23" spans="2:14" s="39" customFormat="1" ht="15.6" x14ac:dyDescent="0.25">
      <c r="B23" s="53" t="s">
        <v>65</v>
      </c>
      <c r="C23" s="15" t="s">
        <v>405</v>
      </c>
      <c r="D23" s="15"/>
      <c r="E23" s="23" t="s">
        <v>34</v>
      </c>
      <c r="F23" s="27">
        <v>8</v>
      </c>
      <c r="G23" s="211">
        <v>100</v>
      </c>
      <c r="H23" s="18">
        <f t="shared" si="0"/>
        <v>800</v>
      </c>
      <c r="I23" s="19"/>
      <c r="J23" s="1"/>
      <c r="K23" s="43">
        <f>G23*5%</f>
        <v>5</v>
      </c>
      <c r="L23" s="48">
        <f t="shared" si="1"/>
        <v>40</v>
      </c>
      <c r="M23" s="43"/>
      <c r="N23" s="43"/>
    </row>
    <row r="24" spans="2:14" x14ac:dyDescent="0.25">
      <c r="B24" s="53"/>
      <c r="C24" s="15"/>
      <c r="D24" s="15"/>
      <c r="E24" s="23"/>
      <c r="F24" s="24"/>
      <c r="G24" s="211" t="s">
        <v>1556</v>
      </c>
      <c r="H24" s="18" t="str">
        <f t="shared" si="0"/>
        <v/>
      </c>
      <c r="I24" s="45"/>
      <c r="K24" s="43"/>
      <c r="L24" s="48" t="str">
        <f t="shared" si="1"/>
        <v/>
      </c>
      <c r="M24" s="43"/>
      <c r="N24" s="43"/>
    </row>
    <row r="25" spans="2:14" ht="26.4" x14ac:dyDescent="0.25">
      <c r="B25" s="53" t="s">
        <v>1316</v>
      </c>
      <c r="C25" s="15" t="s">
        <v>406</v>
      </c>
      <c r="D25" s="15"/>
      <c r="E25" s="23" t="s">
        <v>34</v>
      </c>
      <c r="F25" s="24">
        <v>10</v>
      </c>
      <c r="G25" s="211">
        <v>578</v>
      </c>
      <c r="H25" s="18">
        <f t="shared" si="0"/>
        <v>5780</v>
      </c>
      <c r="I25" s="45"/>
      <c r="K25" s="43">
        <f>G25*3%</f>
        <v>17.34</v>
      </c>
      <c r="L25" s="48">
        <f t="shared" si="1"/>
        <v>173.4</v>
      </c>
      <c r="M25" s="43"/>
      <c r="N25" s="43"/>
    </row>
    <row r="26" spans="2:14" x14ac:dyDescent="0.25">
      <c r="B26" s="53"/>
      <c r="C26" s="15"/>
      <c r="D26" s="15"/>
      <c r="E26" s="23"/>
      <c r="F26" s="24"/>
      <c r="G26" s="211" t="s">
        <v>1556</v>
      </c>
      <c r="H26" s="18" t="str">
        <f t="shared" si="0"/>
        <v/>
      </c>
      <c r="I26" s="44"/>
      <c r="K26" s="43"/>
      <c r="L26" s="48" t="str">
        <f t="shared" si="1"/>
        <v/>
      </c>
      <c r="M26" s="43"/>
      <c r="N26" s="43"/>
    </row>
    <row r="27" spans="2:14" ht="26.4" x14ac:dyDescent="0.25">
      <c r="B27" s="53" t="s">
        <v>1317</v>
      </c>
      <c r="C27" s="15" t="s">
        <v>407</v>
      </c>
      <c r="D27" s="15"/>
      <c r="E27" s="23" t="s">
        <v>34</v>
      </c>
      <c r="F27" s="24">
        <v>5</v>
      </c>
      <c r="G27" s="211">
        <v>100</v>
      </c>
      <c r="H27" s="18">
        <f t="shared" si="0"/>
        <v>500</v>
      </c>
      <c r="I27" s="44"/>
      <c r="K27" s="43"/>
      <c r="L27" s="48" t="str">
        <f t="shared" si="1"/>
        <v/>
      </c>
      <c r="M27" s="43"/>
      <c r="N27" s="43"/>
    </row>
    <row r="28" spans="2:14" x14ac:dyDescent="0.25">
      <c r="B28" s="53"/>
      <c r="C28" s="15"/>
      <c r="D28" s="15"/>
      <c r="E28" s="23"/>
      <c r="F28" s="24"/>
      <c r="G28" s="211" t="s">
        <v>1556</v>
      </c>
      <c r="H28" s="18"/>
      <c r="I28" s="44"/>
      <c r="K28" s="43"/>
      <c r="L28" s="48" t="str">
        <f t="shared" si="1"/>
        <v/>
      </c>
      <c r="M28" s="43"/>
      <c r="N28" s="43"/>
    </row>
    <row r="29" spans="2:14" x14ac:dyDescent="0.25">
      <c r="B29" s="53" t="s">
        <v>1318</v>
      </c>
      <c r="C29" s="15" t="s">
        <v>408</v>
      </c>
      <c r="D29" s="15"/>
      <c r="E29" s="23"/>
      <c r="F29" s="23"/>
      <c r="G29" s="211" t="s">
        <v>1556</v>
      </c>
      <c r="H29" s="18" t="str">
        <f t="shared" si="0"/>
        <v/>
      </c>
      <c r="I29" s="44"/>
      <c r="K29" s="43"/>
      <c r="L29" s="48" t="str">
        <f t="shared" si="1"/>
        <v/>
      </c>
      <c r="M29" s="43"/>
      <c r="N29" s="43"/>
    </row>
    <row r="30" spans="2:14" x14ac:dyDescent="0.25">
      <c r="B30" s="53"/>
      <c r="C30" s="15"/>
      <c r="D30" s="15"/>
      <c r="E30" s="23"/>
      <c r="F30" s="23"/>
      <c r="G30" s="211" t="s">
        <v>1556</v>
      </c>
      <c r="H30" s="18" t="str">
        <f t="shared" si="0"/>
        <v/>
      </c>
      <c r="I30" s="44"/>
      <c r="K30" s="43"/>
      <c r="L30" s="48" t="str">
        <f t="shared" si="1"/>
        <v/>
      </c>
      <c r="M30" s="43"/>
      <c r="N30" s="43"/>
    </row>
    <row r="31" spans="2:14" ht="26.4" x14ac:dyDescent="0.25">
      <c r="B31" s="53" t="s">
        <v>1319</v>
      </c>
      <c r="C31" s="15" t="s">
        <v>409</v>
      </c>
      <c r="D31" s="15"/>
      <c r="E31" s="23"/>
      <c r="F31" s="23"/>
      <c r="G31" s="211" t="s">
        <v>1556</v>
      </c>
      <c r="H31" s="18" t="str">
        <f t="shared" si="0"/>
        <v/>
      </c>
      <c r="I31" s="44"/>
      <c r="K31" s="43"/>
      <c r="L31" s="48" t="str">
        <f t="shared" si="1"/>
        <v/>
      </c>
      <c r="M31" s="43"/>
      <c r="N31" s="43"/>
    </row>
    <row r="32" spans="2:14" x14ac:dyDescent="0.25">
      <c r="B32" s="53"/>
      <c r="C32" s="15"/>
      <c r="D32" s="15"/>
      <c r="E32" s="23"/>
      <c r="F32" s="23"/>
      <c r="G32" s="211" t="s">
        <v>1556</v>
      </c>
      <c r="H32" s="18" t="str">
        <f t="shared" si="0"/>
        <v/>
      </c>
      <c r="I32" s="44"/>
      <c r="K32" s="43"/>
      <c r="L32" s="48" t="str">
        <f t="shared" si="1"/>
        <v/>
      </c>
      <c r="M32" s="43"/>
      <c r="N32" s="43"/>
    </row>
    <row r="33" spans="2:14" ht="15.6" x14ac:dyDescent="0.25">
      <c r="B33" s="53" t="s">
        <v>49</v>
      </c>
      <c r="C33" s="15" t="s">
        <v>403</v>
      </c>
      <c r="D33" s="23" t="s">
        <v>1602</v>
      </c>
      <c r="E33" s="23" t="s">
        <v>34</v>
      </c>
      <c r="F33" s="23">
        <v>155</v>
      </c>
      <c r="G33" s="211">
        <v>315</v>
      </c>
      <c r="H33" s="18">
        <f t="shared" si="0"/>
        <v>48825</v>
      </c>
      <c r="I33" s="44"/>
      <c r="K33" s="43">
        <f>_Excavation</f>
        <v>134</v>
      </c>
      <c r="L33" s="48">
        <f t="shared" si="1"/>
        <v>20770</v>
      </c>
      <c r="M33" s="43"/>
      <c r="N33" s="43"/>
    </row>
    <row r="34" spans="2:14" x14ac:dyDescent="0.25">
      <c r="B34" s="53"/>
      <c r="C34" s="15"/>
      <c r="D34" s="15"/>
      <c r="E34" s="23"/>
      <c r="F34" s="23"/>
      <c r="G34" s="211" t="s">
        <v>1556</v>
      </c>
      <c r="H34" s="18" t="str">
        <f t="shared" si="0"/>
        <v/>
      </c>
      <c r="I34" s="44"/>
      <c r="K34" s="43"/>
      <c r="L34" s="48" t="str">
        <f t="shared" si="1"/>
        <v/>
      </c>
      <c r="M34" s="43"/>
      <c r="N34" s="43"/>
    </row>
    <row r="35" spans="2:14" ht="26.4" x14ac:dyDescent="0.25">
      <c r="B35" s="53" t="s">
        <v>1320</v>
      </c>
      <c r="C35" s="15" t="s">
        <v>410</v>
      </c>
      <c r="D35" s="23" t="s">
        <v>1602</v>
      </c>
      <c r="E35" s="23" t="s">
        <v>34</v>
      </c>
      <c r="F35" s="23">
        <v>20</v>
      </c>
      <c r="G35" s="211">
        <v>105</v>
      </c>
      <c r="H35" s="18">
        <f t="shared" si="0"/>
        <v>2100</v>
      </c>
      <c r="I35" s="44"/>
      <c r="K35" s="43"/>
      <c r="L35" s="48" t="str">
        <f t="shared" si="1"/>
        <v/>
      </c>
      <c r="M35" s="43"/>
      <c r="N35" s="43"/>
    </row>
    <row r="36" spans="2:14" x14ac:dyDescent="0.25">
      <c r="B36" s="53"/>
      <c r="C36" s="15"/>
      <c r="D36" s="15"/>
      <c r="E36" s="23"/>
      <c r="F36" s="23"/>
      <c r="G36" s="211" t="s">
        <v>1556</v>
      </c>
      <c r="H36" s="18" t="str">
        <f t="shared" si="0"/>
        <v/>
      </c>
      <c r="I36" s="44"/>
      <c r="K36" s="43"/>
      <c r="L36" s="48" t="str">
        <f t="shared" si="1"/>
        <v/>
      </c>
      <c r="M36" s="43"/>
      <c r="N36" s="43"/>
    </row>
    <row r="37" spans="2:14" ht="26.4" x14ac:dyDescent="0.25">
      <c r="B37" s="53" t="s">
        <v>1321</v>
      </c>
      <c r="C37" s="15" t="s">
        <v>411</v>
      </c>
      <c r="D37" s="15"/>
      <c r="E37" s="23" t="s">
        <v>34</v>
      </c>
      <c r="F37" s="23">
        <v>10</v>
      </c>
      <c r="G37" s="211">
        <v>315</v>
      </c>
      <c r="H37" s="18">
        <f t="shared" si="0"/>
        <v>3150</v>
      </c>
      <c r="I37" s="44"/>
      <c r="K37" s="43"/>
      <c r="L37" s="48" t="str">
        <f t="shared" si="1"/>
        <v/>
      </c>
      <c r="M37" s="43"/>
      <c r="N37" s="43"/>
    </row>
    <row r="38" spans="2:14" ht="12" customHeight="1" x14ac:dyDescent="0.25">
      <c r="B38" s="53"/>
      <c r="C38" s="15"/>
      <c r="D38" s="15"/>
      <c r="E38" s="23"/>
      <c r="F38" s="23"/>
      <c r="G38" s="211" t="s">
        <v>1556</v>
      </c>
      <c r="H38" s="18" t="str">
        <f t="shared" si="0"/>
        <v/>
      </c>
      <c r="I38" s="44"/>
      <c r="K38" s="43"/>
      <c r="L38" s="48" t="str">
        <f t="shared" si="1"/>
        <v/>
      </c>
      <c r="M38" s="43"/>
      <c r="N38" s="43"/>
    </row>
    <row r="39" spans="2:14" x14ac:dyDescent="0.25">
      <c r="B39" s="53" t="s">
        <v>1322</v>
      </c>
      <c r="C39" s="15" t="s">
        <v>413</v>
      </c>
      <c r="D39" s="15"/>
      <c r="E39" s="23"/>
      <c r="F39" s="23"/>
      <c r="G39" s="41" t="s">
        <v>1556</v>
      </c>
      <c r="H39" s="18" t="str">
        <f t="shared" si="0"/>
        <v/>
      </c>
      <c r="I39" s="44"/>
      <c r="K39" s="43"/>
      <c r="L39" s="48" t="str">
        <f t="shared" si="1"/>
        <v/>
      </c>
      <c r="M39" s="43"/>
      <c r="N39" s="43"/>
    </row>
    <row r="40" spans="2:14" ht="12" customHeight="1" x14ac:dyDescent="0.25">
      <c r="B40" s="53"/>
      <c r="C40" s="15"/>
      <c r="D40" s="15"/>
      <c r="E40" s="23"/>
      <c r="F40" s="23"/>
      <c r="G40" s="41" t="s">
        <v>1556</v>
      </c>
      <c r="H40" s="18" t="str">
        <f t="shared" si="0"/>
        <v/>
      </c>
      <c r="I40" s="44"/>
      <c r="K40" s="43"/>
      <c r="L40" s="48" t="str">
        <f t="shared" si="1"/>
        <v/>
      </c>
      <c r="M40" s="43"/>
      <c r="N40" s="43"/>
    </row>
    <row r="41" spans="2:14" ht="15.6" x14ac:dyDescent="0.25">
      <c r="B41" s="53" t="s">
        <v>1323</v>
      </c>
      <c r="C41" s="15" t="s">
        <v>412</v>
      </c>
      <c r="D41" s="23" t="s">
        <v>1602</v>
      </c>
      <c r="E41" s="23" t="s">
        <v>34</v>
      </c>
      <c r="F41" s="23">
        <v>62</v>
      </c>
      <c r="G41" s="41">
        <v>100</v>
      </c>
      <c r="H41" s="18">
        <f t="shared" si="0"/>
        <v>6200</v>
      </c>
      <c r="I41" s="44"/>
      <c r="K41" s="43">
        <f>_Backfill</f>
        <v>45</v>
      </c>
      <c r="L41" s="48">
        <f t="shared" si="1"/>
        <v>2790</v>
      </c>
      <c r="M41" s="43"/>
      <c r="N41" s="43"/>
    </row>
    <row r="42" spans="2:14" ht="12" customHeight="1" x14ac:dyDescent="0.25">
      <c r="B42" s="53"/>
      <c r="C42" s="15"/>
      <c r="D42" s="15"/>
      <c r="E42" s="23"/>
      <c r="F42" s="23"/>
      <c r="G42" s="41" t="s">
        <v>1556</v>
      </c>
      <c r="H42" s="18" t="str">
        <f t="shared" si="0"/>
        <v/>
      </c>
      <c r="K42" s="43"/>
      <c r="L42" s="48" t="str">
        <f t="shared" si="1"/>
        <v/>
      </c>
      <c r="M42" s="43"/>
      <c r="N42" s="43"/>
    </row>
    <row r="43" spans="2:14" ht="15.6" x14ac:dyDescent="0.25">
      <c r="B43" s="53" t="s">
        <v>1324</v>
      </c>
      <c r="C43" s="15" t="s">
        <v>1174</v>
      </c>
      <c r="D43" s="23" t="s">
        <v>1602</v>
      </c>
      <c r="E43" s="23" t="s">
        <v>34</v>
      </c>
      <c r="F43" s="23">
        <v>81</v>
      </c>
      <c r="G43" s="41">
        <v>121</v>
      </c>
      <c r="H43" s="18">
        <f t="shared" si="0"/>
        <v>9801</v>
      </c>
      <c r="I43" s="44"/>
      <c r="K43" s="43">
        <f>_Backfill</f>
        <v>45</v>
      </c>
      <c r="L43" s="48">
        <f t="shared" si="1"/>
        <v>3645</v>
      </c>
      <c r="M43" s="43"/>
      <c r="N43" s="43"/>
    </row>
    <row r="44" spans="2:14" ht="12" customHeight="1" x14ac:dyDescent="0.25">
      <c r="B44" s="53"/>
      <c r="C44" s="15"/>
      <c r="D44" s="15"/>
      <c r="E44" s="23"/>
      <c r="F44" s="23"/>
      <c r="G44" s="41" t="s">
        <v>1556</v>
      </c>
      <c r="H44" s="18" t="str">
        <f t="shared" si="0"/>
        <v/>
      </c>
      <c r="I44" s="52"/>
      <c r="K44" s="43"/>
      <c r="L44" s="48" t="str">
        <f t="shared" si="1"/>
        <v/>
      </c>
      <c r="M44" s="43"/>
      <c r="N44" s="43"/>
    </row>
    <row r="45" spans="2:14" ht="15.6" x14ac:dyDescent="0.25">
      <c r="B45" s="53" t="s">
        <v>1325</v>
      </c>
      <c r="C45" s="15" t="s">
        <v>414</v>
      </c>
      <c r="D45" s="15"/>
      <c r="E45" s="23" t="s">
        <v>34</v>
      </c>
      <c r="F45" s="23">
        <v>20</v>
      </c>
      <c r="G45" s="41">
        <v>21</v>
      </c>
      <c r="H45" s="18">
        <f t="shared" si="0"/>
        <v>420</v>
      </c>
      <c r="K45" s="43"/>
      <c r="L45" s="48" t="str">
        <f t="shared" si="1"/>
        <v/>
      </c>
      <c r="M45" s="43"/>
      <c r="N45" s="43"/>
    </row>
    <row r="46" spans="2:14" ht="12" customHeight="1" x14ac:dyDescent="0.25">
      <c r="B46" s="53"/>
      <c r="C46" s="15"/>
      <c r="D46" s="15"/>
      <c r="E46" s="23"/>
      <c r="F46" s="23"/>
      <c r="G46" s="41" t="s">
        <v>1556</v>
      </c>
      <c r="H46" s="18" t="str">
        <f t="shared" si="0"/>
        <v/>
      </c>
      <c r="I46" s="44"/>
      <c r="K46" s="43"/>
      <c r="L46" s="48" t="str">
        <f t="shared" si="1"/>
        <v/>
      </c>
      <c r="M46" s="43"/>
      <c r="N46" s="43"/>
    </row>
    <row r="47" spans="2:14" ht="39.6" x14ac:dyDescent="0.25">
      <c r="B47" s="53" t="s">
        <v>1327</v>
      </c>
      <c r="C47" s="15" t="s">
        <v>415</v>
      </c>
      <c r="D47" s="15"/>
      <c r="E47" s="23" t="s">
        <v>599</v>
      </c>
      <c r="F47" s="23">
        <v>500</v>
      </c>
      <c r="G47" s="41">
        <v>9</v>
      </c>
      <c r="H47" s="18">
        <f t="shared" si="0"/>
        <v>4500</v>
      </c>
      <c r="I47" s="44"/>
      <c r="L47" s="48" t="str">
        <f t="shared" si="1"/>
        <v/>
      </c>
    </row>
    <row r="48" spans="2:14" ht="12" customHeight="1" x14ac:dyDescent="0.25">
      <c r="B48" s="53"/>
      <c r="C48" s="15"/>
      <c r="D48" s="15"/>
      <c r="E48" s="23"/>
      <c r="F48" s="23"/>
      <c r="G48" s="41" t="s">
        <v>1556</v>
      </c>
      <c r="H48" s="18" t="str">
        <f t="shared" si="0"/>
        <v/>
      </c>
      <c r="I48" s="44"/>
      <c r="L48" s="48" t="str">
        <f t="shared" si="1"/>
        <v/>
      </c>
    </row>
    <row r="49" spans="2:12" ht="15.6" x14ac:dyDescent="0.25">
      <c r="B49" s="53" t="s">
        <v>1328</v>
      </c>
      <c r="C49" s="15" t="s">
        <v>416</v>
      </c>
      <c r="D49" s="15"/>
      <c r="E49" s="23" t="s">
        <v>80</v>
      </c>
      <c r="F49" s="23">
        <v>15</v>
      </c>
      <c r="G49" s="41">
        <v>158</v>
      </c>
      <c r="H49" s="18">
        <f t="shared" si="0"/>
        <v>2370</v>
      </c>
      <c r="I49" s="44"/>
      <c r="L49" s="48" t="str">
        <f t="shared" si="1"/>
        <v/>
      </c>
    </row>
    <row r="50" spans="2:12" x14ac:dyDescent="0.25">
      <c r="B50" s="53"/>
      <c r="C50" s="15"/>
      <c r="D50" s="15"/>
      <c r="E50" s="23"/>
      <c r="F50" s="23"/>
      <c r="G50" s="41" t="s">
        <v>1556</v>
      </c>
      <c r="H50" s="18"/>
      <c r="I50" s="44"/>
      <c r="L50" s="48" t="str">
        <f t="shared" si="1"/>
        <v/>
      </c>
    </row>
    <row r="51" spans="2:12" x14ac:dyDescent="0.25">
      <c r="B51" s="53" t="s">
        <v>1329</v>
      </c>
      <c r="C51" s="15" t="s">
        <v>417</v>
      </c>
      <c r="D51" s="15"/>
      <c r="E51" s="23"/>
      <c r="F51" s="23"/>
      <c r="G51" s="41" t="s">
        <v>1556</v>
      </c>
      <c r="H51" s="18" t="str">
        <f>IF(E51="","",F51*G51)</f>
        <v/>
      </c>
      <c r="I51" s="44"/>
      <c r="L51" s="48" t="str">
        <f t="shared" si="1"/>
        <v/>
      </c>
    </row>
    <row r="52" spans="2:12" x14ac:dyDescent="0.25">
      <c r="B52" s="53"/>
      <c r="C52" s="15"/>
      <c r="D52" s="15"/>
      <c r="E52" s="23"/>
      <c r="F52" s="23"/>
      <c r="G52" s="41" t="s">
        <v>1556</v>
      </c>
      <c r="H52" s="18" t="str">
        <f>IF(E52="","",F52*G52)</f>
        <v/>
      </c>
      <c r="I52" s="44"/>
      <c r="L52" s="48" t="str">
        <f t="shared" si="1"/>
        <v/>
      </c>
    </row>
    <row r="53" spans="2:12" ht="15.6" x14ac:dyDescent="0.25">
      <c r="B53" s="53" t="s">
        <v>1330</v>
      </c>
      <c r="C53" s="15" t="s">
        <v>328</v>
      </c>
      <c r="D53" s="15"/>
      <c r="E53" s="23" t="s">
        <v>34</v>
      </c>
      <c r="F53" s="23">
        <v>10</v>
      </c>
      <c r="G53" s="41">
        <v>546</v>
      </c>
      <c r="H53" s="18">
        <f>IF(E53="","",F53*G53)</f>
        <v>5460</v>
      </c>
      <c r="I53" s="44"/>
      <c r="K53" s="43">
        <f>_Backfill</f>
        <v>45</v>
      </c>
      <c r="L53" s="48">
        <f t="shared" si="1"/>
        <v>450</v>
      </c>
    </row>
    <row r="54" spans="2:12" x14ac:dyDescent="0.25">
      <c r="B54" s="53"/>
      <c r="C54" s="15"/>
      <c r="D54" s="15"/>
      <c r="E54" s="23"/>
      <c r="F54" s="23"/>
      <c r="G54" s="41" t="s">
        <v>1556</v>
      </c>
      <c r="H54" s="18"/>
      <c r="I54" s="44"/>
      <c r="L54" s="48" t="str">
        <f t="shared" si="1"/>
        <v/>
      </c>
    </row>
    <row r="55" spans="2:12" ht="15.6" x14ac:dyDescent="0.25">
      <c r="B55" s="53" t="s">
        <v>1331</v>
      </c>
      <c r="C55" s="15" t="s">
        <v>1175</v>
      </c>
      <c r="D55" s="23" t="s">
        <v>1602</v>
      </c>
      <c r="E55" s="23" t="s">
        <v>34</v>
      </c>
      <c r="F55" s="23">
        <v>10</v>
      </c>
      <c r="G55" s="41">
        <v>2625</v>
      </c>
      <c r="H55" s="18">
        <f>IF(E55="","",F55*G55)</f>
        <v>26250</v>
      </c>
      <c r="I55" s="44"/>
      <c r="K55" s="1">
        <f>_Place</f>
        <v>348</v>
      </c>
      <c r="L55" s="48">
        <f t="shared" si="1"/>
        <v>3480</v>
      </c>
    </row>
    <row r="56" spans="2:12" x14ac:dyDescent="0.25">
      <c r="B56" s="53"/>
      <c r="C56" s="15"/>
      <c r="D56" s="15"/>
      <c r="E56" s="23"/>
      <c r="F56" s="23"/>
      <c r="G56" s="41" t="s">
        <v>1556</v>
      </c>
      <c r="H56" s="18"/>
      <c r="I56" s="44"/>
      <c r="L56" s="48" t="str">
        <f t="shared" si="1"/>
        <v/>
      </c>
    </row>
    <row r="57" spans="2:12" ht="15.6" x14ac:dyDescent="0.25">
      <c r="B57" s="53" t="s">
        <v>1332</v>
      </c>
      <c r="C57" s="15" t="s">
        <v>1176</v>
      </c>
      <c r="D57" s="23" t="s">
        <v>1602</v>
      </c>
      <c r="E57" s="23" t="s">
        <v>34</v>
      </c>
      <c r="F57" s="23">
        <v>7</v>
      </c>
      <c r="G57" s="41">
        <v>1890</v>
      </c>
      <c r="H57" s="18">
        <f>IF(E57="","",F57*G57)</f>
        <v>13230</v>
      </c>
      <c r="I57" s="44"/>
      <c r="K57" s="1">
        <f>_Place</f>
        <v>348</v>
      </c>
      <c r="L57" s="48">
        <f t="shared" si="1"/>
        <v>2436</v>
      </c>
    </row>
    <row r="58" spans="2:12" x14ac:dyDescent="0.25">
      <c r="B58" s="53"/>
      <c r="C58" s="15"/>
      <c r="D58" s="15"/>
      <c r="E58" s="23"/>
      <c r="F58" s="23"/>
      <c r="G58" s="41"/>
      <c r="H58" s="18"/>
      <c r="I58" s="44"/>
      <c r="L58" s="48" t="str">
        <f t="shared" si="1"/>
        <v/>
      </c>
    </row>
    <row r="59" spans="2:12" ht="12" customHeight="1" x14ac:dyDescent="0.25">
      <c r="B59" s="53"/>
      <c r="C59" s="15"/>
      <c r="D59" s="15"/>
      <c r="E59" s="23"/>
      <c r="F59" s="23"/>
      <c r="G59" s="211"/>
      <c r="H59" s="18" t="str">
        <f t="shared" si="0"/>
        <v/>
      </c>
      <c r="I59" s="44"/>
      <c r="L59" s="48" t="str">
        <f t="shared" si="1"/>
        <v/>
      </c>
    </row>
    <row r="60" spans="2:12" x14ac:dyDescent="0.25">
      <c r="B60" s="53"/>
      <c r="C60" s="15"/>
      <c r="D60" s="15"/>
      <c r="E60" s="23"/>
      <c r="F60" s="23"/>
      <c r="G60" s="211"/>
      <c r="H60" s="18" t="str">
        <f t="shared" si="0"/>
        <v/>
      </c>
      <c r="I60" s="44"/>
      <c r="L60" s="48" t="str">
        <f t="shared" si="1"/>
        <v/>
      </c>
    </row>
    <row r="61" spans="2:12" ht="12" customHeight="1" x14ac:dyDescent="0.25">
      <c r="B61" s="53"/>
      <c r="C61" s="15"/>
      <c r="D61" s="15"/>
      <c r="E61" s="23"/>
      <c r="F61" s="23"/>
      <c r="G61" s="211"/>
      <c r="H61" s="18" t="str">
        <f t="shared" si="0"/>
        <v/>
      </c>
      <c r="I61" s="44"/>
      <c r="L61" s="48" t="str">
        <f t="shared" si="1"/>
        <v/>
      </c>
    </row>
    <row r="62" spans="2:12" s="31" customFormat="1" ht="19.5" customHeight="1" x14ac:dyDescent="0.25">
      <c r="B62" s="151" t="str">
        <f>$B$12</f>
        <v>3/C13.1</v>
      </c>
      <c r="C62" s="33" t="s">
        <v>957</v>
      </c>
      <c r="D62" s="33"/>
      <c r="E62" s="34"/>
      <c r="F62" s="35"/>
      <c r="G62" s="34"/>
      <c r="H62" s="36">
        <f>SUM(H10:H61)</f>
        <v>132986</v>
      </c>
      <c r="I62" s="37"/>
      <c r="L62" s="36">
        <f>SUM(L10:L61)</f>
        <v>33964.400000000001</v>
      </c>
    </row>
  </sheetData>
  <mergeCells count="4">
    <mergeCell ref="F2:H2"/>
    <mergeCell ref="B5:G5"/>
    <mergeCell ref="H5:H8"/>
    <mergeCell ref="B6:G8"/>
  </mergeCells>
  <printOptions horizontalCentered="1"/>
  <pageMargins left="0.43307086614173229" right="0.31496062992125984" top="0.43307086614173229" bottom="0.62992125984251968" header="0.35433070866141736" footer="0.31496062992125984"/>
  <pageSetup paperSize="9" scale="79"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F2C47-7520-4FF4-B734-CF121758BC1B}">
  <sheetPr>
    <tabColor rgb="FF92D050"/>
  </sheetPr>
  <dimension ref="B1:N74"/>
  <sheetViews>
    <sheetView view="pageBreakPreview" zoomScale="85" zoomScaleNormal="125" zoomScaleSheetLayoutView="85" zoomScalePageLayoutView="125" workbookViewId="0">
      <selection activeCell="L25" sqref="L25"/>
    </sheetView>
  </sheetViews>
  <sheetFormatPr defaultColWidth="6.6640625" defaultRowHeight="13.2" x14ac:dyDescent="0.25"/>
  <cols>
    <col min="1" max="1" width="0.6640625" style="1" customWidth="1"/>
    <col min="2" max="2" width="11.5546875" style="38" customWidth="1"/>
    <col min="3" max="3" width="45.5546875" style="3" customWidth="1"/>
    <col min="4" max="4" width="4.10937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1" width="6.6640625" style="1"/>
    <col min="12" max="12" width="10.6640625" style="1" bestFit="1" customWidth="1"/>
    <col min="13" max="16384" width="6.6640625" style="1"/>
  </cols>
  <sheetData>
    <row r="1" spans="2:14" x14ac:dyDescent="0.25">
      <c r="H1" s="234">
        <f>MAX(H9:H498)</f>
        <v>142064</v>
      </c>
    </row>
    <row r="2" spans="2:14" x14ac:dyDescent="0.25">
      <c r="B2" s="2" t="str">
        <f>Client1</f>
        <v>Province of KwaZulu-Natal</v>
      </c>
      <c r="F2" s="510" t="str">
        <f>"Contract No. "&amp;ContractNo</f>
        <v>Contract No. ZNB02215/00000/00/HOD/INF/23/T</v>
      </c>
      <c r="G2" s="510"/>
      <c r="H2" s="510"/>
      <c r="K2" s="402"/>
      <c r="L2" s="402">
        <f>MAX(L3:L243)</f>
        <v>39960</v>
      </c>
      <c r="M2" s="402"/>
      <c r="N2" s="403"/>
    </row>
    <row r="3" spans="2:14" x14ac:dyDescent="0.25">
      <c r="B3" s="96" t="str">
        <f>Client2</f>
        <v>Department of Transport</v>
      </c>
      <c r="K3" s="1" t="s">
        <v>1421</v>
      </c>
      <c r="L3" s="1" t="s">
        <v>1422</v>
      </c>
      <c r="M3" s="1" t="s">
        <v>1423</v>
      </c>
      <c r="N3" s="1" t="s">
        <v>1424</v>
      </c>
    </row>
    <row r="4" spans="2:14" x14ac:dyDescent="0.25">
      <c r="B4" s="84"/>
      <c r="C4" s="84"/>
      <c r="D4" s="84"/>
      <c r="E4" s="85"/>
      <c r="F4" s="85"/>
      <c r="G4" s="86"/>
      <c r="H4" s="98"/>
      <c r="K4" s="86"/>
      <c r="L4" s="86"/>
      <c r="M4" s="86"/>
      <c r="N4" s="86"/>
    </row>
    <row r="5" spans="2:14" x14ac:dyDescent="0.25">
      <c r="B5" s="507" t="s">
        <v>8</v>
      </c>
      <c r="C5" s="508"/>
      <c r="D5" s="508"/>
      <c r="E5" s="508"/>
      <c r="F5" s="508"/>
      <c r="G5" s="508"/>
      <c r="H5" s="519" t="str">
        <f>"CHAPTER "&amp;B12</f>
        <v>CHAPTER 3/C13.2</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20"/>
      <c r="I6" s="9"/>
    </row>
    <row r="7" spans="2:14" ht="12.75" customHeight="1" x14ac:dyDescent="0.25">
      <c r="B7" s="500"/>
      <c r="C7" s="501"/>
      <c r="D7" s="501"/>
      <c r="E7" s="501"/>
      <c r="F7" s="501"/>
      <c r="G7" s="501"/>
      <c r="H7" s="520"/>
      <c r="I7" s="9"/>
    </row>
    <row r="8" spans="2:14" ht="7.5" customHeight="1" x14ac:dyDescent="0.25">
      <c r="B8" s="502"/>
      <c r="C8" s="503"/>
      <c r="D8" s="503"/>
      <c r="E8" s="503"/>
      <c r="F8" s="503"/>
      <c r="G8" s="503"/>
      <c r="H8" s="521"/>
      <c r="I8" s="9"/>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x14ac:dyDescent="0.25">
      <c r="B10" s="14"/>
      <c r="C10" s="225" t="s">
        <v>1312</v>
      </c>
      <c r="D10" s="492"/>
      <c r="E10" s="16"/>
      <c r="F10" s="16"/>
      <c r="G10" s="17"/>
      <c r="H10" s="18" t="str">
        <f t="shared" ref="H10:H71" si="0">IF(E10="","",F10*G10)</f>
        <v/>
      </c>
      <c r="I10" s="19"/>
      <c r="K10" s="17"/>
      <c r="L10" s="17"/>
      <c r="M10" s="17"/>
      <c r="N10" s="17"/>
    </row>
    <row r="11" spans="2:14" x14ac:dyDescent="0.25">
      <c r="B11" s="80"/>
      <c r="C11" s="21"/>
      <c r="D11" s="21"/>
      <c r="E11" s="23"/>
      <c r="F11" s="23"/>
      <c r="G11" s="43"/>
      <c r="H11" s="18"/>
      <c r="I11" s="44"/>
      <c r="K11" s="43"/>
      <c r="L11" s="43"/>
      <c r="M11" s="43"/>
      <c r="N11" s="43"/>
    </row>
    <row r="12" spans="2:14" ht="26.4" x14ac:dyDescent="0.25">
      <c r="B12" s="80" t="s">
        <v>1333</v>
      </c>
      <c r="C12" s="21" t="s">
        <v>418</v>
      </c>
      <c r="D12" s="23" t="s">
        <v>1602</v>
      </c>
      <c r="E12" s="23"/>
      <c r="F12" s="23"/>
      <c r="G12" s="43"/>
      <c r="H12" s="18" t="str">
        <f t="shared" si="0"/>
        <v/>
      </c>
      <c r="I12" s="44"/>
      <c r="K12" s="43"/>
      <c r="L12" s="43"/>
      <c r="M12" s="43"/>
      <c r="N12" s="43"/>
    </row>
    <row r="13" spans="2:14" x14ac:dyDescent="0.25">
      <c r="B13" s="53"/>
      <c r="C13" s="15"/>
      <c r="D13" s="15"/>
      <c r="E13" s="23"/>
      <c r="F13" s="23"/>
      <c r="G13" s="43"/>
      <c r="H13" s="18" t="str">
        <f t="shared" si="0"/>
        <v/>
      </c>
      <c r="I13" s="44"/>
      <c r="K13" s="25"/>
      <c r="L13" s="48" t="str">
        <f t="shared" ref="L13:L46" si="1">IF(K13="","",K13*F13)</f>
        <v/>
      </c>
      <c r="M13" s="25"/>
      <c r="N13" s="25"/>
    </row>
    <row r="14" spans="2:14" x14ac:dyDescent="0.25">
      <c r="B14" s="53" t="s">
        <v>1334</v>
      </c>
      <c r="C14" s="15" t="s">
        <v>1197</v>
      </c>
      <c r="D14" s="15"/>
      <c r="E14" s="23"/>
      <c r="F14" s="23"/>
      <c r="G14" s="43"/>
      <c r="H14" s="18" t="str">
        <f t="shared" si="0"/>
        <v/>
      </c>
      <c r="I14" s="44"/>
      <c r="K14" s="43"/>
      <c r="L14" s="48" t="str">
        <f t="shared" si="1"/>
        <v/>
      </c>
      <c r="M14" s="43"/>
      <c r="N14" s="43"/>
    </row>
    <row r="15" spans="2:14" x14ac:dyDescent="0.25">
      <c r="B15" s="53"/>
      <c r="C15" s="216"/>
      <c r="D15" s="216"/>
      <c r="E15" s="226"/>
      <c r="F15" s="227"/>
      <c r="G15" s="228"/>
      <c r="H15" s="18" t="str">
        <f t="shared" si="0"/>
        <v/>
      </c>
      <c r="I15" s="45"/>
      <c r="K15" s="43"/>
      <c r="L15" s="48" t="str">
        <f t="shared" si="1"/>
        <v/>
      </c>
      <c r="M15" s="43"/>
      <c r="N15" s="43"/>
    </row>
    <row r="16" spans="2:14" x14ac:dyDescent="0.25">
      <c r="B16" s="53"/>
      <c r="C16" s="216" t="s">
        <v>1198</v>
      </c>
      <c r="D16" s="216"/>
      <c r="E16" s="226"/>
      <c r="F16" s="227"/>
      <c r="G16" s="228"/>
      <c r="H16" s="18" t="str">
        <f t="shared" si="0"/>
        <v/>
      </c>
      <c r="I16" s="45"/>
      <c r="K16" s="43"/>
      <c r="L16" s="48" t="str">
        <f t="shared" si="1"/>
        <v/>
      </c>
      <c r="M16" s="43"/>
      <c r="N16" s="43"/>
    </row>
    <row r="17" spans="2:14" x14ac:dyDescent="0.25">
      <c r="B17" s="53"/>
      <c r="C17" s="216"/>
      <c r="D17" s="216"/>
      <c r="E17" s="226"/>
      <c r="F17" s="227"/>
      <c r="G17" s="25"/>
      <c r="H17" s="18" t="str">
        <f t="shared" si="0"/>
        <v/>
      </c>
      <c r="I17" s="45"/>
      <c r="K17" s="43"/>
      <c r="L17" s="48" t="str">
        <f t="shared" si="1"/>
        <v/>
      </c>
      <c r="M17" s="43"/>
      <c r="N17" s="43"/>
    </row>
    <row r="18" spans="2:14" x14ac:dyDescent="0.25">
      <c r="B18" s="53"/>
      <c r="C18" s="216" t="s">
        <v>1199</v>
      </c>
      <c r="D18" s="216"/>
      <c r="E18" s="226" t="s">
        <v>989</v>
      </c>
      <c r="F18" s="227">
        <v>58</v>
      </c>
      <c r="G18" s="25">
        <v>368</v>
      </c>
      <c r="H18" s="18">
        <f t="shared" si="0"/>
        <v>21344</v>
      </c>
      <c r="I18" s="45"/>
      <c r="K18" s="43">
        <v>111</v>
      </c>
      <c r="L18" s="48">
        <f t="shared" si="1"/>
        <v>6438</v>
      </c>
      <c r="M18" s="43"/>
      <c r="N18" s="43"/>
    </row>
    <row r="19" spans="2:14" x14ac:dyDescent="0.25">
      <c r="B19" s="53"/>
      <c r="C19" s="216"/>
      <c r="D19" s="216"/>
      <c r="E19" s="226"/>
      <c r="F19" s="227"/>
      <c r="G19" s="25" t="s">
        <v>1556</v>
      </c>
      <c r="H19" s="18" t="str">
        <f t="shared" si="0"/>
        <v/>
      </c>
      <c r="I19" s="45"/>
      <c r="K19" s="43"/>
      <c r="L19" s="48" t="str">
        <f t="shared" si="1"/>
        <v/>
      </c>
      <c r="M19" s="43"/>
      <c r="N19" s="43"/>
    </row>
    <row r="20" spans="2:14" x14ac:dyDescent="0.25">
      <c r="B20" s="53"/>
      <c r="C20" s="216" t="s">
        <v>1200</v>
      </c>
      <c r="D20" s="216"/>
      <c r="E20" s="226" t="s">
        <v>989</v>
      </c>
      <c r="F20" s="227">
        <v>56</v>
      </c>
      <c r="G20" s="25">
        <v>368</v>
      </c>
      <c r="H20" s="18">
        <f t="shared" si="0"/>
        <v>20608</v>
      </c>
      <c r="I20" s="45"/>
      <c r="K20" s="43">
        <v>111</v>
      </c>
      <c r="L20" s="48">
        <f t="shared" si="1"/>
        <v>6216</v>
      </c>
      <c r="M20" s="43"/>
      <c r="N20" s="43"/>
    </row>
    <row r="21" spans="2:14" x14ac:dyDescent="0.25">
      <c r="B21" s="53"/>
      <c r="C21" s="216"/>
      <c r="D21" s="216"/>
      <c r="E21" s="215"/>
      <c r="F21" s="227"/>
      <c r="G21" s="25" t="s">
        <v>1556</v>
      </c>
      <c r="H21" s="18" t="str">
        <f t="shared" si="0"/>
        <v/>
      </c>
      <c r="I21" s="45"/>
      <c r="K21" s="43"/>
      <c r="L21" s="48" t="str">
        <f t="shared" si="1"/>
        <v/>
      </c>
      <c r="M21" s="43"/>
      <c r="N21" s="43"/>
    </row>
    <row r="22" spans="2:14" x14ac:dyDescent="0.25">
      <c r="B22" s="53"/>
      <c r="C22" s="216" t="s">
        <v>1201</v>
      </c>
      <c r="D22" s="216"/>
      <c r="E22" s="226" t="s">
        <v>989</v>
      </c>
      <c r="F22" s="227">
        <v>48</v>
      </c>
      <c r="G22" s="25">
        <v>368</v>
      </c>
      <c r="H22" s="18">
        <f t="shared" si="0"/>
        <v>17664</v>
      </c>
      <c r="I22" s="45"/>
      <c r="K22" s="43">
        <v>111</v>
      </c>
      <c r="L22" s="48">
        <f t="shared" si="1"/>
        <v>5328</v>
      </c>
      <c r="M22" s="43"/>
      <c r="N22" s="43"/>
    </row>
    <row r="23" spans="2:14" x14ac:dyDescent="0.25">
      <c r="B23" s="53"/>
      <c r="C23" s="216"/>
      <c r="D23" s="216"/>
      <c r="E23" s="226"/>
      <c r="F23" s="227"/>
      <c r="G23" s="25" t="s">
        <v>1556</v>
      </c>
      <c r="H23" s="18" t="str">
        <f t="shared" si="0"/>
        <v/>
      </c>
      <c r="I23" s="45"/>
      <c r="K23" s="43"/>
      <c r="L23" s="48" t="str">
        <f t="shared" si="1"/>
        <v/>
      </c>
      <c r="M23" s="43"/>
      <c r="N23" s="43"/>
    </row>
    <row r="24" spans="2:14" x14ac:dyDescent="0.25">
      <c r="B24" s="53"/>
      <c r="C24" s="216" t="s">
        <v>1202</v>
      </c>
      <c r="D24" s="216"/>
      <c r="E24" s="226" t="s">
        <v>989</v>
      </c>
      <c r="F24" s="227">
        <v>3</v>
      </c>
      <c r="G24" s="25">
        <v>368</v>
      </c>
      <c r="H24" s="18">
        <f t="shared" si="0"/>
        <v>1104</v>
      </c>
      <c r="I24" s="45"/>
      <c r="K24" s="43">
        <v>111</v>
      </c>
      <c r="L24" s="48">
        <f t="shared" si="1"/>
        <v>333</v>
      </c>
      <c r="M24" s="43"/>
      <c r="N24" s="43"/>
    </row>
    <row r="25" spans="2:14" x14ac:dyDescent="0.25">
      <c r="B25" s="53"/>
      <c r="C25" s="216"/>
      <c r="D25" s="216"/>
      <c r="E25" s="215"/>
      <c r="F25" s="227"/>
      <c r="G25" s="25" t="s">
        <v>1556</v>
      </c>
      <c r="H25" s="18" t="str">
        <f t="shared" si="0"/>
        <v/>
      </c>
      <c r="I25" s="45"/>
      <c r="K25" s="43"/>
      <c r="L25" s="48" t="str">
        <f t="shared" si="1"/>
        <v/>
      </c>
      <c r="M25" s="43"/>
      <c r="N25" s="43"/>
    </row>
    <row r="26" spans="2:14" x14ac:dyDescent="0.25">
      <c r="B26" s="53"/>
      <c r="C26" s="216" t="s">
        <v>1203</v>
      </c>
      <c r="D26" s="216"/>
      <c r="E26" s="226" t="s">
        <v>989</v>
      </c>
      <c r="F26" s="227">
        <v>16</v>
      </c>
      <c r="G26" s="25">
        <v>368</v>
      </c>
      <c r="H26" s="18">
        <f t="shared" si="0"/>
        <v>5888</v>
      </c>
      <c r="I26" s="45"/>
      <c r="K26" s="43">
        <v>111</v>
      </c>
      <c r="L26" s="48">
        <f t="shared" si="1"/>
        <v>1776</v>
      </c>
      <c r="M26" s="43"/>
      <c r="N26" s="43"/>
    </row>
    <row r="27" spans="2:14" x14ac:dyDescent="0.25">
      <c r="B27" s="53"/>
      <c r="C27" s="216"/>
      <c r="D27" s="216"/>
      <c r="E27" s="226"/>
      <c r="F27" s="227"/>
      <c r="G27" s="25" t="s">
        <v>1556</v>
      </c>
      <c r="H27" s="18" t="str">
        <f t="shared" si="0"/>
        <v/>
      </c>
      <c r="I27" s="45"/>
      <c r="K27" s="43"/>
      <c r="L27" s="48" t="str">
        <f t="shared" si="1"/>
        <v/>
      </c>
      <c r="M27" s="43"/>
      <c r="N27" s="43"/>
    </row>
    <row r="28" spans="2:14" x14ac:dyDescent="0.25">
      <c r="B28" s="53"/>
      <c r="C28" s="216" t="s">
        <v>1204</v>
      </c>
      <c r="D28" s="216"/>
      <c r="E28" s="215"/>
      <c r="F28" s="227"/>
      <c r="G28" s="25" t="s">
        <v>1556</v>
      </c>
      <c r="H28" s="18" t="str">
        <f t="shared" si="0"/>
        <v/>
      </c>
      <c r="I28" s="45"/>
      <c r="K28" s="43"/>
      <c r="L28" s="48" t="str">
        <f t="shared" si="1"/>
        <v/>
      </c>
      <c r="M28" s="43"/>
      <c r="N28" s="43"/>
    </row>
    <row r="29" spans="2:14" x14ac:dyDescent="0.25">
      <c r="B29" s="53"/>
      <c r="C29" s="216"/>
      <c r="D29" s="216"/>
      <c r="E29" s="215"/>
      <c r="F29" s="227"/>
      <c r="G29" s="25" t="s">
        <v>1556</v>
      </c>
      <c r="H29" s="18" t="str">
        <f t="shared" si="0"/>
        <v/>
      </c>
      <c r="I29" s="45"/>
      <c r="K29" s="43"/>
      <c r="L29" s="48" t="str">
        <f t="shared" si="1"/>
        <v/>
      </c>
      <c r="M29" s="43"/>
      <c r="N29" s="43"/>
    </row>
    <row r="30" spans="2:14" x14ac:dyDescent="0.25">
      <c r="B30" s="53"/>
      <c r="C30" s="216" t="s">
        <v>1205</v>
      </c>
      <c r="D30" s="216"/>
      <c r="E30" s="226" t="s">
        <v>989</v>
      </c>
      <c r="F30" s="227">
        <v>56</v>
      </c>
      <c r="G30" s="25">
        <v>420</v>
      </c>
      <c r="H30" s="18">
        <f t="shared" si="0"/>
        <v>23520</v>
      </c>
      <c r="I30" s="45"/>
      <c r="K30" s="43">
        <v>111</v>
      </c>
      <c r="L30" s="48">
        <f t="shared" si="1"/>
        <v>6216</v>
      </c>
      <c r="M30" s="43"/>
      <c r="N30" s="43"/>
    </row>
    <row r="31" spans="2:14" x14ac:dyDescent="0.25">
      <c r="B31" s="53"/>
      <c r="C31" s="216"/>
      <c r="D31" s="216"/>
      <c r="E31" s="226"/>
      <c r="F31" s="227"/>
      <c r="G31" s="25" t="s">
        <v>1556</v>
      </c>
      <c r="H31" s="18" t="str">
        <f t="shared" si="0"/>
        <v/>
      </c>
      <c r="I31" s="45"/>
      <c r="K31" s="43"/>
      <c r="L31" s="48" t="str">
        <f t="shared" si="1"/>
        <v/>
      </c>
      <c r="M31" s="43"/>
      <c r="N31" s="43"/>
    </row>
    <row r="32" spans="2:14" x14ac:dyDescent="0.25">
      <c r="B32" s="53"/>
      <c r="C32" s="216" t="s">
        <v>1206</v>
      </c>
      <c r="D32" s="216"/>
      <c r="E32" s="226" t="s">
        <v>989</v>
      </c>
      <c r="F32" s="227">
        <v>53</v>
      </c>
      <c r="G32" s="25">
        <v>420</v>
      </c>
      <c r="H32" s="18">
        <f t="shared" si="0"/>
        <v>22260</v>
      </c>
      <c r="I32" s="45"/>
      <c r="K32" s="43">
        <v>111</v>
      </c>
      <c r="L32" s="48">
        <f t="shared" si="1"/>
        <v>5883</v>
      </c>
      <c r="M32" s="43"/>
      <c r="N32" s="43"/>
    </row>
    <row r="33" spans="2:14" x14ac:dyDescent="0.25">
      <c r="B33" s="53"/>
      <c r="C33" s="15"/>
      <c r="D33" s="15"/>
      <c r="E33" s="23"/>
      <c r="F33" s="24"/>
      <c r="G33" s="25" t="s">
        <v>1556</v>
      </c>
      <c r="H33" s="18" t="str">
        <f t="shared" si="0"/>
        <v/>
      </c>
      <c r="I33" s="45"/>
      <c r="K33" s="43"/>
      <c r="L33" s="48" t="str">
        <f t="shared" si="1"/>
        <v/>
      </c>
      <c r="M33" s="43"/>
      <c r="N33" s="43"/>
    </row>
    <row r="34" spans="2:14" x14ac:dyDescent="0.25">
      <c r="B34" s="53" t="s">
        <v>1335</v>
      </c>
      <c r="C34" s="15" t="s">
        <v>1207</v>
      </c>
      <c r="D34" s="15"/>
      <c r="E34" s="23"/>
      <c r="F34" s="24"/>
      <c r="G34" s="25" t="s">
        <v>1556</v>
      </c>
      <c r="H34" s="18" t="str">
        <f>IF(E34="","",F34*G34)</f>
        <v/>
      </c>
      <c r="I34" s="45"/>
      <c r="K34" s="43"/>
      <c r="L34" s="48" t="str">
        <f t="shared" si="1"/>
        <v/>
      </c>
      <c r="M34" s="43"/>
      <c r="N34" s="43"/>
    </row>
    <row r="35" spans="2:14" x14ac:dyDescent="0.25">
      <c r="B35" s="53"/>
      <c r="C35" s="15"/>
      <c r="D35" s="15"/>
      <c r="E35" s="23"/>
      <c r="F35" s="24"/>
      <c r="G35" s="25" t="s">
        <v>1556</v>
      </c>
      <c r="H35" s="18" t="str">
        <f t="shared" ref="H35:H51" si="2">IF(E35="","",F35*G35)</f>
        <v/>
      </c>
      <c r="I35" s="45"/>
      <c r="K35" s="43"/>
      <c r="L35" s="48" t="str">
        <f t="shared" si="1"/>
        <v/>
      </c>
      <c r="M35" s="43"/>
      <c r="N35" s="43"/>
    </row>
    <row r="36" spans="2:14" x14ac:dyDescent="0.25">
      <c r="B36" s="53"/>
      <c r="C36" s="15" t="s">
        <v>1208</v>
      </c>
      <c r="D36" s="15"/>
      <c r="E36" s="23"/>
      <c r="F36" s="24"/>
      <c r="G36" s="25" t="s">
        <v>1556</v>
      </c>
      <c r="H36" s="18" t="str">
        <f t="shared" si="2"/>
        <v/>
      </c>
      <c r="I36" s="45"/>
      <c r="K36" s="43"/>
      <c r="L36" s="48" t="str">
        <f t="shared" si="1"/>
        <v/>
      </c>
      <c r="M36" s="43"/>
      <c r="N36" s="43"/>
    </row>
    <row r="37" spans="2:14" x14ac:dyDescent="0.25">
      <c r="B37" s="53"/>
      <c r="C37" s="15"/>
      <c r="D37" s="15"/>
      <c r="E37" s="23"/>
      <c r="F37" s="24"/>
      <c r="G37" s="25" t="s">
        <v>1556</v>
      </c>
      <c r="H37" s="18" t="str">
        <f t="shared" si="2"/>
        <v/>
      </c>
      <c r="I37" s="45"/>
      <c r="K37" s="43"/>
      <c r="L37" s="48" t="str">
        <f t="shared" si="1"/>
        <v/>
      </c>
      <c r="M37" s="43"/>
      <c r="N37" s="43"/>
    </row>
    <row r="38" spans="2:14" ht="13.8" x14ac:dyDescent="0.25">
      <c r="B38" s="53"/>
      <c r="C38" s="15" t="s">
        <v>1209</v>
      </c>
      <c r="D38" s="15"/>
      <c r="E38" s="23" t="s">
        <v>989</v>
      </c>
      <c r="F38" s="24">
        <v>27</v>
      </c>
      <c r="G38" s="25">
        <v>263</v>
      </c>
      <c r="H38" s="18">
        <f t="shared" si="2"/>
        <v>7101</v>
      </c>
      <c r="I38" s="45"/>
      <c r="K38" s="43">
        <v>111</v>
      </c>
      <c r="L38" s="48">
        <f t="shared" si="1"/>
        <v>2997</v>
      </c>
      <c r="M38" s="43"/>
      <c r="N38" s="43"/>
    </row>
    <row r="39" spans="2:14" x14ac:dyDescent="0.25">
      <c r="B39" s="53"/>
      <c r="C39" s="15"/>
      <c r="D39" s="15"/>
      <c r="E39" s="23"/>
      <c r="F39" s="24"/>
      <c r="G39" s="25" t="s">
        <v>1556</v>
      </c>
      <c r="H39" s="18" t="str">
        <f t="shared" si="2"/>
        <v/>
      </c>
      <c r="I39" s="45"/>
      <c r="K39" s="43"/>
      <c r="L39" s="48" t="str">
        <f t="shared" si="1"/>
        <v/>
      </c>
      <c r="M39" s="43"/>
      <c r="N39" s="43"/>
    </row>
    <row r="40" spans="2:14" x14ac:dyDescent="0.25">
      <c r="B40" s="53" t="s">
        <v>1336</v>
      </c>
      <c r="C40" s="15" t="s">
        <v>1210</v>
      </c>
      <c r="D40" s="15"/>
      <c r="E40" s="23"/>
      <c r="F40" s="24"/>
      <c r="G40" s="25" t="s">
        <v>1556</v>
      </c>
      <c r="H40" s="18" t="str">
        <f t="shared" si="2"/>
        <v/>
      </c>
      <c r="I40" s="45"/>
      <c r="K40" s="43"/>
      <c r="L40" s="48" t="str">
        <f t="shared" si="1"/>
        <v/>
      </c>
      <c r="M40" s="43"/>
      <c r="N40" s="43"/>
    </row>
    <row r="41" spans="2:14" x14ac:dyDescent="0.25">
      <c r="B41" s="53"/>
      <c r="C41" s="15"/>
      <c r="D41" s="15"/>
      <c r="E41" s="23"/>
      <c r="F41" s="24"/>
      <c r="G41" s="25" t="s">
        <v>1556</v>
      </c>
      <c r="H41" s="18" t="str">
        <f t="shared" si="2"/>
        <v/>
      </c>
      <c r="I41" s="45"/>
      <c r="K41" s="43"/>
      <c r="L41" s="48" t="str">
        <f t="shared" si="1"/>
        <v/>
      </c>
      <c r="M41" s="43"/>
      <c r="N41" s="43"/>
    </row>
    <row r="42" spans="2:14" x14ac:dyDescent="0.25">
      <c r="B42" s="53"/>
      <c r="C42" s="15" t="s">
        <v>1211</v>
      </c>
      <c r="D42" s="15"/>
      <c r="E42" s="23"/>
      <c r="F42" s="24"/>
      <c r="G42" s="25" t="s">
        <v>1556</v>
      </c>
      <c r="H42" s="18" t="str">
        <f t="shared" si="2"/>
        <v/>
      </c>
      <c r="I42" s="45"/>
      <c r="K42" s="43"/>
      <c r="L42" s="48" t="str">
        <f t="shared" si="1"/>
        <v/>
      </c>
      <c r="M42" s="43"/>
      <c r="N42" s="43"/>
    </row>
    <row r="43" spans="2:14" x14ac:dyDescent="0.25">
      <c r="B43" s="53"/>
      <c r="C43" s="15"/>
      <c r="D43" s="15"/>
      <c r="E43" s="23"/>
      <c r="F43" s="24"/>
      <c r="G43" s="25" t="s">
        <v>1556</v>
      </c>
      <c r="H43" s="18" t="str">
        <f t="shared" si="2"/>
        <v/>
      </c>
      <c r="I43" s="45"/>
      <c r="K43" s="43"/>
      <c r="L43" s="48" t="str">
        <f t="shared" si="1"/>
        <v/>
      </c>
      <c r="M43" s="43"/>
      <c r="N43" s="43"/>
    </row>
    <row r="44" spans="2:14" ht="13.8" x14ac:dyDescent="0.25">
      <c r="B44" s="53"/>
      <c r="C44" s="15" t="s">
        <v>1212</v>
      </c>
      <c r="D44" s="15"/>
      <c r="E44" s="23" t="s">
        <v>989</v>
      </c>
      <c r="F44" s="24">
        <v>28</v>
      </c>
      <c r="G44" s="25">
        <v>525</v>
      </c>
      <c r="H44" s="18">
        <f t="shared" si="2"/>
        <v>14700</v>
      </c>
      <c r="I44" s="45"/>
      <c r="K44" s="43">
        <v>111</v>
      </c>
      <c r="L44" s="48">
        <f t="shared" si="1"/>
        <v>3108</v>
      </c>
      <c r="M44" s="43"/>
      <c r="N44" s="43"/>
    </row>
    <row r="45" spans="2:14" x14ac:dyDescent="0.25">
      <c r="B45" s="53"/>
      <c r="C45" s="15"/>
      <c r="D45" s="15"/>
      <c r="E45" s="23"/>
      <c r="F45" s="24"/>
      <c r="G45" s="25" t="s">
        <v>1556</v>
      </c>
      <c r="H45" s="18" t="str">
        <f t="shared" si="2"/>
        <v/>
      </c>
      <c r="I45" s="45"/>
      <c r="K45" s="43"/>
      <c r="L45" s="48" t="str">
        <f t="shared" si="1"/>
        <v/>
      </c>
      <c r="M45" s="43"/>
      <c r="N45" s="43"/>
    </row>
    <row r="46" spans="2:14" ht="13.8" x14ac:dyDescent="0.25">
      <c r="B46" s="53"/>
      <c r="C46" s="15" t="s">
        <v>1213</v>
      </c>
      <c r="D46" s="15"/>
      <c r="E46" s="23" t="s">
        <v>989</v>
      </c>
      <c r="F46" s="24">
        <v>15</v>
      </c>
      <c r="G46" s="25">
        <v>525</v>
      </c>
      <c r="H46" s="18">
        <f t="shared" si="2"/>
        <v>7875</v>
      </c>
      <c r="I46" s="45"/>
      <c r="K46" s="43">
        <v>111</v>
      </c>
      <c r="L46" s="48">
        <f t="shared" si="1"/>
        <v>1665</v>
      </c>
      <c r="M46" s="43"/>
      <c r="N46" s="43"/>
    </row>
    <row r="47" spans="2:14" x14ac:dyDescent="0.25">
      <c r="B47" s="53"/>
      <c r="C47" s="15"/>
      <c r="D47" s="15"/>
      <c r="E47" s="23"/>
      <c r="F47" s="24"/>
      <c r="G47" s="25"/>
      <c r="H47" s="18" t="str">
        <f t="shared" si="2"/>
        <v/>
      </c>
      <c r="I47" s="45"/>
      <c r="K47" s="43"/>
      <c r="L47" s="48" t="str">
        <f t="shared" ref="L47:L73" si="3">IF(K47="","",K47*F47)</f>
        <v/>
      </c>
      <c r="M47" s="43"/>
      <c r="N47" s="43"/>
    </row>
    <row r="48" spans="2:14" x14ac:dyDescent="0.25">
      <c r="B48" s="53"/>
      <c r="C48" s="15"/>
      <c r="D48" s="15"/>
      <c r="E48" s="23"/>
      <c r="F48" s="24"/>
      <c r="G48" s="25"/>
      <c r="H48" s="18" t="str">
        <f t="shared" si="2"/>
        <v/>
      </c>
      <c r="I48" s="45"/>
      <c r="K48" s="43"/>
      <c r="L48" s="48" t="str">
        <f t="shared" si="3"/>
        <v/>
      </c>
      <c r="M48" s="43"/>
      <c r="N48" s="43"/>
    </row>
    <row r="49" spans="2:14" x14ac:dyDescent="0.25">
      <c r="B49" s="53"/>
      <c r="C49" s="15"/>
      <c r="D49" s="15"/>
      <c r="E49" s="23"/>
      <c r="F49" s="24"/>
      <c r="G49" s="25"/>
      <c r="H49" s="18" t="str">
        <f t="shared" si="2"/>
        <v/>
      </c>
      <c r="I49" s="45"/>
      <c r="K49" s="43"/>
      <c r="L49" s="48" t="str">
        <f t="shared" si="3"/>
        <v/>
      </c>
      <c r="M49" s="43"/>
      <c r="N49" s="43"/>
    </row>
    <row r="50" spans="2:14" x14ac:dyDescent="0.25">
      <c r="B50" s="53"/>
      <c r="C50" s="15"/>
      <c r="D50" s="15"/>
      <c r="E50" s="23"/>
      <c r="F50" s="24"/>
      <c r="G50" s="43"/>
      <c r="H50" s="18" t="str">
        <f t="shared" si="2"/>
        <v/>
      </c>
      <c r="I50" s="44"/>
      <c r="K50" s="43"/>
      <c r="L50" s="48" t="str">
        <f t="shared" si="3"/>
        <v/>
      </c>
      <c r="M50" s="43"/>
      <c r="N50" s="43"/>
    </row>
    <row r="51" spans="2:14" x14ac:dyDescent="0.25">
      <c r="B51" s="53"/>
      <c r="C51" s="15"/>
      <c r="D51" s="15"/>
      <c r="E51" s="23"/>
      <c r="F51" s="24"/>
      <c r="G51" s="43"/>
      <c r="H51" s="18" t="str">
        <f t="shared" si="2"/>
        <v/>
      </c>
      <c r="I51" s="44"/>
      <c r="K51" s="43"/>
      <c r="L51" s="48" t="str">
        <f t="shared" si="3"/>
        <v/>
      </c>
      <c r="M51" s="43"/>
      <c r="N51" s="43"/>
    </row>
    <row r="52" spans="2:14" x14ac:dyDescent="0.25">
      <c r="B52" s="53"/>
      <c r="C52" s="15"/>
      <c r="D52" s="15"/>
      <c r="E52" s="23"/>
      <c r="F52" s="24"/>
      <c r="G52" s="46"/>
      <c r="H52" s="18" t="str">
        <f t="shared" si="0"/>
        <v/>
      </c>
      <c r="I52" s="44"/>
      <c r="K52" s="43"/>
      <c r="L52" s="48" t="str">
        <f t="shared" si="3"/>
        <v/>
      </c>
      <c r="M52" s="43"/>
      <c r="N52" s="43"/>
    </row>
    <row r="53" spans="2:14" x14ac:dyDescent="0.25">
      <c r="B53" s="22"/>
      <c r="C53" s="15"/>
      <c r="D53" s="15"/>
      <c r="E53" s="23"/>
      <c r="F53" s="23"/>
      <c r="G53" s="43"/>
      <c r="H53" s="18" t="str">
        <f t="shared" si="0"/>
        <v/>
      </c>
      <c r="I53" s="44"/>
      <c r="K53" s="43"/>
      <c r="L53" s="48" t="str">
        <f t="shared" si="3"/>
        <v/>
      </c>
      <c r="M53" s="43"/>
      <c r="N53" s="43"/>
    </row>
    <row r="54" spans="2:14" x14ac:dyDescent="0.25">
      <c r="B54" s="14"/>
      <c r="C54" s="15"/>
      <c r="D54" s="15"/>
      <c r="E54" s="23"/>
      <c r="F54" s="23"/>
      <c r="G54" s="43"/>
      <c r="H54" s="18" t="str">
        <f t="shared" si="0"/>
        <v/>
      </c>
      <c r="I54" s="44"/>
      <c r="K54" s="43"/>
      <c r="L54" s="48" t="str">
        <f t="shared" si="3"/>
        <v/>
      </c>
      <c r="M54" s="43"/>
      <c r="N54" s="43"/>
    </row>
    <row r="55" spans="2:14" x14ac:dyDescent="0.25">
      <c r="B55" s="14"/>
      <c r="C55" s="15"/>
      <c r="D55" s="15"/>
      <c r="E55" s="23"/>
      <c r="F55" s="23"/>
      <c r="G55" s="41"/>
      <c r="H55" s="18" t="str">
        <f t="shared" si="0"/>
        <v/>
      </c>
      <c r="I55" s="44"/>
      <c r="K55" s="43"/>
      <c r="L55" s="48" t="str">
        <f t="shared" si="3"/>
        <v/>
      </c>
      <c r="M55" s="43"/>
      <c r="N55" s="43"/>
    </row>
    <row r="56" spans="2:14" x14ac:dyDescent="0.25">
      <c r="B56" s="14"/>
      <c r="C56" s="15"/>
      <c r="D56" s="15"/>
      <c r="E56" s="23"/>
      <c r="F56" s="23"/>
      <c r="G56" s="41"/>
      <c r="H56" s="18" t="str">
        <f t="shared" si="0"/>
        <v/>
      </c>
      <c r="I56" s="44"/>
      <c r="K56" s="43"/>
      <c r="L56" s="48" t="str">
        <f t="shared" si="3"/>
        <v/>
      </c>
      <c r="M56" s="43"/>
      <c r="N56" s="43"/>
    </row>
    <row r="57" spans="2:14" x14ac:dyDescent="0.25">
      <c r="B57" s="22"/>
      <c r="C57" s="15"/>
      <c r="D57" s="15"/>
      <c r="E57" s="23"/>
      <c r="F57" s="23"/>
      <c r="G57" s="41"/>
      <c r="H57" s="18" t="str">
        <f t="shared" si="0"/>
        <v/>
      </c>
      <c r="I57" s="44"/>
      <c r="K57" s="43"/>
      <c r="L57" s="48" t="str">
        <f t="shared" si="3"/>
        <v/>
      </c>
      <c r="M57" s="43"/>
      <c r="N57" s="43"/>
    </row>
    <row r="58" spans="2:14" x14ac:dyDescent="0.25">
      <c r="B58" s="14"/>
      <c r="C58" s="15"/>
      <c r="D58" s="15"/>
      <c r="E58" s="23"/>
      <c r="F58" s="23"/>
      <c r="G58" s="41"/>
      <c r="H58" s="18" t="str">
        <f t="shared" si="0"/>
        <v/>
      </c>
      <c r="I58" s="44"/>
      <c r="K58" s="43"/>
      <c r="L58" s="48" t="str">
        <f t="shared" si="3"/>
        <v/>
      </c>
      <c r="M58" s="43"/>
      <c r="N58" s="43"/>
    </row>
    <row r="59" spans="2:14" x14ac:dyDescent="0.25">
      <c r="B59" s="14"/>
      <c r="C59" s="15"/>
      <c r="D59" s="15"/>
      <c r="E59" s="23"/>
      <c r="F59" s="23"/>
      <c r="G59" s="41"/>
      <c r="H59" s="18" t="str">
        <f t="shared" si="0"/>
        <v/>
      </c>
      <c r="I59" s="44"/>
      <c r="K59" s="43"/>
      <c r="L59" s="48" t="str">
        <f t="shared" si="3"/>
        <v/>
      </c>
      <c r="M59" s="43"/>
      <c r="N59" s="43"/>
    </row>
    <row r="60" spans="2:14" x14ac:dyDescent="0.25">
      <c r="B60" s="14"/>
      <c r="C60" s="15"/>
      <c r="D60" s="15"/>
      <c r="E60" s="23"/>
      <c r="F60" s="23"/>
      <c r="G60" s="41"/>
      <c r="H60" s="18" t="str">
        <f t="shared" si="0"/>
        <v/>
      </c>
      <c r="I60" s="44"/>
      <c r="K60" s="43"/>
      <c r="L60" s="48" t="str">
        <f t="shared" si="3"/>
        <v/>
      </c>
      <c r="M60" s="43"/>
      <c r="N60" s="43"/>
    </row>
    <row r="61" spans="2:14" x14ac:dyDescent="0.25">
      <c r="B61" s="14"/>
      <c r="C61" s="15"/>
      <c r="D61" s="15"/>
      <c r="E61" s="23"/>
      <c r="F61" s="23"/>
      <c r="G61" s="51"/>
      <c r="H61" s="18" t="str">
        <f t="shared" si="0"/>
        <v/>
      </c>
      <c r="I61" s="44"/>
      <c r="K61" s="43"/>
      <c r="L61" s="48" t="str">
        <f t="shared" si="3"/>
        <v/>
      </c>
      <c r="M61" s="43"/>
      <c r="N61" s="43"/>
    </row>
    <row r="62" spans="2:14" x14ac:dyDescent="0.25">
      <c r="B62" s="14"/>
      <c r="C62" s="15"/>
      <c r="D62" s="15"/>
      <c r="E62" s="23"/>
      <c r="F62" s="23"/>
      <c r="G62" s="51"/>
      <c r="H62" s="18" t="str">
        <f t="shared" si="0"/>
        <v/>
      </c>
      <c r="I62" s="44"/>
      <c r="K62" s="43"/>
      <c r="L62" s="48" t="str">
        <f t="shared" si="3"/>
        <v/>
      </c>
      <c r="M62" s="43"/>
      <c r="N62" s="43"/>
    </row>
    <row r="63" spans="2:14" x14ac:dyDescent="0.25">
      <c r="B63" s="14"/>
      <c r="C63" s="15"/>
      <c r="D63" s="15"/>
      <c r="E63" s="23"/>
      <c r="F63" s="23"/>
      <c r="G63" s="41"/>
      <c r="H63" s="18" t="str">
        <f t="shared" si="0"/>
        <v/>
      </c>
      <c r="I63" s="44"/>
      <c r="K63" s="43"/>
      <c r="L63" s="48" t="str">
        <f t="shared" si="3"/>
        <v/>
      </c>
      <c r="M63" s="43"/>
      <c r="N63" s="43"/>
    </row>
    <row r="64" spans="2:14" x14ac:dyDescent="0.25">
      <c r="B64" s="14"/>
      <c r="C64" s="15"/>
      <c r="D64" s="15"/>
      <c r="E64" s="23"/>
      <c r="F64" s="23"/>
      <c r="G64" s="41"/>
      <c r="H64" s="18" t="str">
        <f t="shared" si="0"/>
        <v/>
      </c>
      <c r="I64" s="44"/>
      <c r="K64" s="43"/>
      <c r="L64" s="48" t="str">
        <f t="shared" si="3"/>
        <v/>
      </c>
      <c r="M64" s="43"/>
      <c r="N64" s="43"/>
    </row>
    <row r="65" spans="2:14" x14ac:dyDescent="0.25">
      <c r="B65" s="14"/>
      <c r="C65" s="15"/>
      <c r="D65" s="15"/>
      <c r="E65" s="23"/>
      <c r="F65" s="23"/>
      <c r="G65" s="41"/>
      <c r="H65" s="18" t="str">
        <f t="shared" si="0"/>
        <v/>
      </c>
      <c r="I65" s="44"/>
      <c r="K65" s="43"/>
      <c r="L65" s="48" t="str">
        <f t="shared" si="3"/>
        <v/>
      </c>
      <c r="M65" s="43"/>
      <c r="N65" s="43"/>
    </row>
    <row r="66" spans="2:14" x14ac:dyDescent="0.25">
      <c r="B66" s="14"/>
      <c r="C66" s="15"/>
      <c r="D66" s="15"/>
      <c r="E66" s="23"/>
      <c r="F66" s="23"/>
      <c r="G66" s="41"/>
      <c r="H66" s="18" t="str">
        <f t="shared" si="0"/>
        <v/>
      </c>
      <c r="I66" s="44"/>
      <c r="K66" s="43"/>
      <c r="L66" s="48" t="str">
        <f t="shared" si="3"/>
        <v/>
      </c>
      <c r="M66" s="43"/>
      <c r="N66" s="43"/>
    </row>
    <row r="67" spans="2:14" x14ac:dyDescent="0.25">
      <c r="B67" s="14"/>
      <c r="C67" s="15"/>
      <c r="D67" s="15"/>
      <c r="E67" s="40"/>
      <c r="F67" s="40"/>
      <c r="G67" s="41"/>
      <c r="H67" s="18" t="str">
        <f t="shared" si="0"/>
        <v/>
      </c>
      <c r="K67" s="43"/>
      <c r="L67" s="48" t="str">
        <f t="shared" si="3"/>
        <v/>
      </c>
      <c r="M67" s="43"/>
      <c r="N67" s="43"/>
    </row>
    <row r="68" spans="2:14" x14ac:dyDescent="0.25">
      <c r="B68" s="14"/>
      <c r="C68" s="15"/>
      <c r="D68" s="15"/>
      <c r="E68" s="23"/>
      <c r="F68" s="23"/>
      <c r="G68" s="41"/>
      <c r="H68" s="18" t="str">
        <f t="shared" si="0"/>
        <v/>
      </c>
      <c r="I68" s="44"/>
      <c r="K68" s="43"/>
      <c r="L68" s="48" t="str">
        <f t="shared" si="3"/>
        <v/>
      </c>
      <c r="M68" s="43"/>
      <c r="N68" s="43"/>
    </row>
    <row r="69" spans="2:14" x14ac:dyDescent="0.25">
      <c r="B69" s="14"/>
      <c r="C69" s="15"/>
      <c r="D69" s="15"/>
      <c r="E69" s="40"/>
      <c r="F69" s="40"/>
      <c r="G69" s="41"/>
      <c r="H69" s="18" t="str">
        <f t="shared" si="0"/>
        <v/>
      </c>
      <c r="I69" s="52"/>
      <c r="K69" s="43"/>
      <c r="L69" s="48" t="str">
        <f t="shared" si="3"/>
        <v/>
      </c>
      <c r="M69" s="43"/>
      <c r="N69" s="43"/>
    </row>
    <row r="70" spans="2:14" x14ac:dyDescent="0.25">
      <c r="B70" s="14"/>
      <c r="C70" s="15"/>
      <c r="D70" s="15"/>
      <c r="E70" s="40"/>
      <c r="F70" s="40"/>
      <c r="G70" s="41"/>
      <c r="H70" s="18" t="str">
        <f t="shared" si="0"/>
        <v/>
      </c>
      <c r="K70" s="43"/>
      <c r="L70" s="48" t="str">
        <f t="shared" si="3"/>
        <v/>
      </c>
      <c r="M70" s="43"/>
      <c r="N70" s="43"/>
    </row>
    <row r="71" spans="2:14" x14ac:dyDescent="0.25">
      <c r="B71" s="14"/>
      <c r="C71" s="15"/>
      <c r="D71" s="15"/>
      <c r="E71" s="23"/>
      <c r="F71" s="23"/>
      <c r="G71" s="41"/>
      <c r="H71" s="18" t="str">
        <f t="shared" si="0"/>
        <v/>
      </c>
      <c r="I71" s="44"/>
      <c r="K71" s="43"/>
      <c r="L71" s="48" t="str">
        <f t="shared" si="3"/>
        <v/>
      </c>
      <c r="M71" s="43"/>
      <c r="N71" s="43"/>
    </row>
    <row r="72" spans="2:14" x14ac:dyDescent="0.25">
      <c r="B72" s="14"/>
      <c r="C72" s="15"/>
      <c r="D72" s="15"/>
      <c r="E72" s="23"/>
      <c r="F72" s="23"/>
      <c r="G72" s="41"/>
      <c r="H72" s="18" t="str">
        <f>IF(E72="","",F72*G72)</f>
        <v/>
      </c>
      <c r="I72" s="44"/>
      <c r="K72" s="43"/>
      <c r="L72" s="48" t="str">
        <f t="shared" si="3"/>
        <v/>
      </c>
      <c r="M72" s="43"/>
      <c r="N72" s="43"/>
    </row>
    <row r="73" spans="2:14" x14ac:dyDescent="0.25">
      <c r="B73" s="14"/>
      <c r="C73" s="15"/>
      <c r="D73" s="15"/>
      <c r="E73" s="23"/>
      <c r="F73" s="23"/>
      <c r="G73" s="41"/>
      <c r="H73" s="18" t="str">
        <f>IF(E73="","",F73*G73)</f>
        <v/>
      </c>
      <c r="I73" s="44"/>
      <c r="K73" s="43"/>
      <c r="L73" s="48" t="str">
        <f t="shared" si="3"/>
        <v/>
      </c>
      <c r="M73" s="43"/>
      <c r="N73" s="43"/>
    </row>
    <row r="74" spans="2:14" s="31" customFormat="1" ht="24.75" customHeight="1" x14ac:dyDescent="0.25">
      <c r="B74" s="164" t="str">
        <f>$B$12</f>
        <v>3/C13.2</v>
      </c>
      <c r="C74" s="33" t="s">
        <v>957</v>
      </c>
      <c r="D74" s="33"/>
      <c r="E74" s="34"/>
      <c r="F74" s="35"/>
      <c r="G74" s="34"/>
      <c r="H74" s="36">
        <f>SUM(H10:H73)</f>
        <v>142064</v>
      </c>
      <c r="I74" s="37"/>
      <c r="L74" s="36">
        <f>SUM(L10:L73)</f>
        <v>39960</v>
      </c>
    </row>
  </sheetData>
  <mergeCells count="4">
    <mergeCell ref="F2:H2"/>
    <mergeCell ref="B5:G5"/>
    <mergeCell ref="H5:H8"/>
    <mergeCell ref="B6:G8"/>
  </mergeCells>
  <dataValidations count="1">
    <dataValidation type="custom" allowBlank="1" showInputMessage="1" showErrorMessage="1" errorTitle="Invalid rate" error="A value with an invalid decimal part_x000a_was entered." sqref="G18:G32 G44:G46" xr:uid="{F6AEE810-A897-46FE-8C9A-83E452431ABA}">
      <formula1>(G18)-TRUNC(G18,2)=0</formula1>
    </dataValidation>
  </dataValidations>
  <printOptions horizontalCentered="1"/>
  <pageMargins left="0.43307086614173229" right="0.31496062992125984" top="0.43307086614173229" bottom="0.62992125984251968" header="0.35433070866141736" footer="0.31496062992125984"/>
  <pageSetup paperSize="9" scale="79"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22B95-A479-43E1-88BA-C9CCE99D3497}">
  <sheetPr>
    <tabColor rgb="FF92D050"/>
  </sheetPr>
  <dimension ref="A1:N75"/>
  <sheetViews>
    <sheetView view="pageBreakPreview" topLeftCell="A5" zoomScaleNormal="125" zoomScaleSheetLayoutView="100" zoomScalePageLayoutView="125" workbookViewId="0">
      <selection activeCell="L25" sqref="L25"/>
    </sheetView>
  </sheetViews>
  <sheetFormatPr defaultColWidth="6.6640625" defaultRowHeight="13.2" x14ac:dyDescent="0.25"/>
  <cols>
    <col min="1" max="1" width="0.6640625" style="1" customWidth="1"/>
    <col min="2" max="2" width="11.5546875" style="38" customWidth="1"/>
    <col min="3" max="3" width="45.5546875" style="3" customWidth="1"/>
    <col min="4" max="4" width="5.3320312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0" width="6.6640625" style="1"/>
    <col min="11" max="11" width="7.44140625" style="1" bestFit="1" customWidth="1"/>
    <col min="12" max="12" width="9.6640625" style="1" bestFit="1" customWidth="1"/>
    <col min="13" max="16384" width="6.6640625" style="1"/>
  </cols>
  <sheetData>
    <row r="1" spans="1:14" x14ac:dyDescent="0.25">
      <c r="H1" s="234">
        <f>MAX(H9:H498)</f>
        <v>236250</v>
      </c>
    </row>
    <row r="2" spans="1:14" x14ac:dyDescent="0.25">
      <c r="B2" s="2" t="str">
        <f>Client1</f>
        <v>Province of KwaZulu-Natal</v>
      </c>
      <c r="F2" s="510" t="str">
        <f>"Contract No. "&amp;ContractNo</f>
        <v>Contract No. ZNB02215/00000/00/HOD/INF/23/T</v>
      </c>
      <c r="G2" s="510"/>
      <c r="H2" s="510"/>
      <c r="K2" s="402"/>
      <c r="L2" s="402">
        <f>MAX(L3:L243)</f>
        <v>4725</v>
      </c>
      <c r="M2" s="402"/>
      <c r="N2" s="403"/>
    </row>
    <row r="3" spans="1:14" x14ac:dyDescent="0.25">
      <c r="B3" s="96" t="str">
        <f>Client2</f>
        <v>Department of Transport</v>
      </c>
      <c r="K3" s="1" t="s">
        <v>1421</v>
      </c>
      <c r="L3" s="1" t="s">
        <v>1422</v>
      </c>
      <c r="M3" s="1" t="s">
        <v>1423</v>
      </c>
      <c r="N3" s="1" t="s">
        <v>1424</v>
      </c>
    </row>
    <row r="4" spans="1:14" x14ac:dyDescent="0.25">
      <c r="B4" s="84"/>
      <c r="C4" s="84"/>
      <c r="D4" s="84"/>
      <c r="E4" s="85"/>
      <c r="F4" s="85"/>
      <c r="G4" s="86"/>
      <c r="H4" s="98"/>
      <c r="K4" s="86"/>
      <c r="L4" s="86"/>
      <c r="M4" s="86"/>
      <c r="N4" s="86"/>
    </row>
    <row r="5" spans="1:14" x14ac:dyDescent="0.25">
      <c r="B5" s="507" t="s">
        <v>8</v>
      </c>
      <c r="C5" s="508"/>
      <c r="D5" s="508"/>
      <c r="E5" s="508"/>
      <c r="F5" s="508"/>
      <c r="G5" s="508"/>
      <c r="H5" s="519" t="str">
        <f>"CHAPTER "&amp;B12</f>
        <v>CHAPTER 3/C13.3</v>
      </c>
      <c r="I5" s="6"/>
    </row>
    <row r="6" spans="1:14" ht="7.5" customHeight="1" x14ac:dyDescent="0.25">
      <c r="B6" s="500" t="str">
        <f>ContractDescription</f>
        <v>UPGRADING OF MAIN ROAD P8/3 FROM GRAVEL TO BLACKTOP BETWEEN KM 17.560 AND KM 24.221 IN THE PIETERMARITZBURG REGION</v>
      </c>
      <c r="C6" s="501"/>
      <c r="D6" s="501"/>
      <c r="E6" s="501"/>
      <c r="F6" s="501"/>
      <c r="G6" s="501"/>
      <c r="H6" s="520"/>
      <c r="I6" s="9"/>
    </row>
    <row r="7" spans="1:14" ht="12.75" customHeight="1" x14ac:dyDescent="0.25">
      <c r="B7" s="500"/>
      <c r="C7" s="501"/>
      <c r="D7" s="501"/>
      <c r="E7" s="501"/>
      <c r="F7" s="501"/>
      <c r="G7" s="501"/>
      <c r="H7" s="520"/>
      <c r="I7" s="9"/>
    </row>
    <row r="8" spans="1:14" ht="7.5" customHeight="1" x14ac:dyDescent="0.25">
      <c r="B8" s="502"/>
      <c r="C8" s="503"/>
      <c r="D8" s="503"/>
      <c r="E8" s="503"/>
      <c r="F8" s="503"/>
      <c r="G8" s="503"/>
      <c r="H8" s="521"/>
      <c r="I8" s="9"/>
    </row>
    <row r="9" spans="1:14" s="10" customFormat="1" ht="25.2" customHeight="1" x14ac:dyDescent="0.25">
      <c r="B9" s="11" t="s">
        <v>0</v>
      </c>
      <c r="C9" s="12" t="s">
        <v>1</v>
      </c>
      <c r="D9" s="12" t="s">
        <v>1602</v>
      </c>
      <c r="E9" s="12" t="s">
        <v>2</v>
      </c>
      <c r="F9" s="12" t="s">
        <v>3</v>
      </c>
      <c r="G9" s="12" t="s">
        <v>4</v>
      </c>
      <c r="H9" s="12" t="s">
        <v>5</v>
      </c>
      <c r="I9" s="13"/>
      <c r="K9" s="12"/>
      <c r="L9" s="12"/>
      <c r="M9" s="12"/>
      <c r="N9" s="12"/>
    </row>
    <row r="10" spans="1:14" x14ac:dyDescent="0.25">
      <c r="A10" s="5"/>
      <c r="B10" s="53"/>
      <c r="C10" s="225" t="s">
        <v>1312</v>
      </c>
      <c r="D10" s="492"/>
      <c r="E10" s="16"/>
      <c r="F10" s="16"/>
      <c r="G10" s="17"/>
      <c r="H10" s="18" t="str">
        <f t="shared" ref="H10:H69" si="0">IF(E10="","",F10*G10)</f>
        <v/>
      </c>
      <c r="I10" s="19"/>
      <c r="K10" s="17"/>
      <c r="L10" s="17"/>
      <c r="M10" s="17"/>
      <c r="N10" s="17"/>
    </row>
    <row r="11" spans="1:14" x14ac:dyDescent="0.25">
      <c r="A11" s="5"/>
      <c r="B11" s="53"/>
      <c r="C11" s="15"/>
      <c r="D11" s="15"/>
      <c r="E11" s="16"/>
      <c r="F11" s="16"/>
      <c r="G11" s="17"/>
      <c r="H11" s="18"/>
      <c r="I11" s="19"/>
      <c r="K11" s="43"/>
      <c r="L11" s="43"/>
      <c r="M11" s="43"/>
      <c r="N11" s="43"/>
    </row>
    <row r="12" spans="1:14" x14ac:dyDescent="0.25">
      <c r="A12" s="5"/>
      <c r="B12" s="80" t="s">
        <v>1338</v>
      </c>
      <c r="C12" s="21" t="s">
        <v>419</v>
      </c>
      <c r="D12" s="23" t="s">
        <v>1602</v>
      </c>
      <c r="E12" s="23"/>
      <c r="F12" s="23"/>
      <c r="G12" s="43"/>
      <c r="H12" s="18" t="str">
        <f t="shared" si="0"/>
        <v/>
      </c>
      <c r="I12" s="44"/>
      <c r="K12" s="43"/>
      <c r="L12" s="43"/>
      <c r="M12" s="43"/>
      <c r="N12" s="43"/>
    </row>
    <row r="13" spans="1:14" x14ac:dyDescent="0.25">
      <c r="A13" s="5"/>
      <c r="B13" s="53"/>
      <c r="C13" s="15"/>
      <c r="D13" s="15"/>
      <c r="E13" s="23"/>
      <c r="F13" s="23"/>
      <c r="G13" s="43"/>
      <c r="H13" s="18" t="str">
        <f t="shared" si="0"/>
        <v/>
      </c>
      <c r="I13" s="44"/>
      <c r="K13" s="25"/>
      <c r="L13" s="48" t="str">
        <f t="shared" ref="L13:L46" si="1">IF(K13="","",K13*F13)</f>
        <v/>
      </c>
      <c r="M13" s="25"/>
      <c r="N13" s="25"/>
    </row>
    <row r="14" spans="1:14" x14ac:dyDescent="0.25">
      <c r="A14" s="5"/>
      <c r="B14" s="53" t="s">
        <v>1337</v>
      </c>
      <c r="C14" s="15" t="s">
        <v>420</v>
      </c>
      <c r="D14" s="15"/>
      <c r="E14" s="23"/>
      <c r="F14" s="23"/>
      <c r="G14" s="43"/>
      <c r="H14" s="18" t="str">
        <f t="shared" si="0"/>
        <v/>
      </c>
      <c r="I14" s="44"/>
      <c r="K14" s="43"/>
      <c r="L14" s="48" t="str">
        <f t="shared" si="1"/>
        <v/>
      </c>
      <c r="M14" s="43"/>
      <c r="N14" s="43"/>
    </row>
    <row r="15" spans="1:14" x14ac:dyDescent="0.25">
      <c r="A15" s="5"/>
      <c r="B15" s="53"/>
      <c r="C15" s="15"/>
      <c r="D15" s="15"/>
      <c r="E15" s="23"/>
      <c r="F15" s="23"/>
      <c r="G15" s="43"/>
      <c r="H15" s="18" t="str">
        <f t="shared" si="0"/>
        <v/>
      </c>
      <c r="I15" s="44"/>
      <c r="K15" s="43"/>
      <c r="L15" s="48" t="str">
        <f t="shared" si="1"/>
        <v/>
      </c>
      <c r="M15" s="43"/>
      <c r="N15" s="43"/>
    </row>
    <row r="16" spans="1:14" x14ac:dyDescent="0.25">
      <c r="A16" s="5"/>
      <c r="B16" s="53" t="s">
        <v>1339</v>
      </c>
      <c r="C16" s="15" t="s">
        <v>1222</v>
      </c>
      <c r="D16" s="15"/>
      <c r="E16" s="23"/>
      <c r="F16" s="24"/>
      <c r="G16" s="25"/>
      <c r="H16" s="18" t="str">
        <f t="shared" si="0"/>
        <v/>
      </c>
      <c r="I16" s="45"/>
      <c r="K16" s="43"/>
      <c r="L16" s="48" t="str">
        <f t="shared" si="1"/>
        <v/>
      </c>
      <c r="M16" s="43"/>
      <c r="N16" s="43"/>
    </row>
    <row r="17" spans="1:14" x14ac:dyDescent="0.25">
      <c r="A17" s="5"/>
      <c r="B17" s="53"/>
      <c r="C17" s="15"/>
      <c r="D17" s="15"/>
      <c r="E17" s="23"/>
      <c r="F17" s="24"/>
      <c r="G17" s="25"/>
      <c r="H17" s="18" t="str">
        <f t="shared" si="0"/>
        <v/>
      </c>
      <c r="I17" s="45"/>
      <c r="K17" s="43"/>
      <c r="L17" s="48" t="str">
        <f t="shared" si="1"/>
        <v/>
      </c>
      <c r="M17" s="43"/>
      <c r="N17" s="43"/>
    </row>
    <row r="18" spans="1:14" x14ac:dyDescent="0.25">
      <c r="A18" s="5"/>
      <c r="B18" s="53"/>
      <c r="C18" s="15" t="s">
        <v>1226</v>
      </c>
      <c r="D18" s="15"/>
      <c r="E18" s="23" t="s">
        <v>7</v>
      </c>
      <c r="F18" s="24">
        <v>2</v>
      </c>
      <c r="G18" s="25">
        <v>26250</v>
      </c>
      <c r="H18" s="18">
        <f t="shared" si="0"/>
        <v>52500</v>
      </c>
      <c r="I18" s="45"/>
      <c r="K18" s="43">
        <f>G18*2%</f>
        <v>525</v>
      </c>
      <c r="L18" s="48">
        <f t="shared" si="1"/>
        <v>1050</v>
      </c>
      <c r="M18" s="43"/>
      <c r="N18" s="43"/>
    </row>
    <row r="19" spans="1:14" x14ac:dyDescent="0.25">
      <c r="A19" s="5"/>
      <c r="B19" s="53"/>
      <c r="C19" s="15"/>
      <c r="D19" s="15"/>
      <c r="E19" s="23"/>
      <c r="F19" s="24"/>
      <c r="G19" s="25" t="s">
        <v>1556</v>
      </c>
      <c r="H19" s="18" t="str">
        <f t="shared" si="0"/>
        <v/>
      </c>
      <c r="I19" s="45"/>
      <c r="K19" s="43"/>
      <c r="L19" s="48" t="str">
        <f t="shared" si="1"/>
        <v/>
      </c>
      <c r="M19" s="43"/>
      <c r="N19" s="43"/>
    </row>
    <row r="20" spans="1:14" x14ac:dyDescent="0.25">
      <c r="A20" s="5"/>
      <c r="B20" s="53"/>
      <c r="C20" s="15" t="s">
        <v>1223</v>
      </c>
      <c r="D20" s="15"/>
      <c r="E20" s="23"/>
      <c r="G20" s="25" t="s">
        <v>1556</v>
      </c>
      <c r="H20" s="18" t="str">
        <f t="shared" si="0"/>
        <v/>
      </c>
      <c r="I20" s="45"/>
      <c r="K20" s="43"/>
      <c r="L20" s="48" t="str">
        <f t="shared" si="1"/>
        <v/>
      </c>
      <c r="M20" s="43"/>
      <c r="N20" s="43"/>
    </row>
    <row r="21" spans="1:14" x14ac:dyDescent="0.25">
      <c r="A21" s="5"/>
      <c r="B21" s="53"/>
      <c r="C21" s="15"/>
      <c r="D21" s="15"/>
      <c r="E21" s="23"/>
      <c r="G21" s="25" t="s">
        <v>1556</v>
      </c>
      <c r="H21" s="18" t="str">
        <f t="shared" si="0"/>
        <v/>
      </c>
      <c r="I21" s="45"/>
      <c r="K21" s="43"/>
      <c r="L21" s="48" t="str">
        <f t="shared" si="1"/>
        <v/>
      </c>
      <c r="M21" s="43"/>
      <c r="N21" s="43"/>
    </row>
    <row r="22" spans="1:14" x14ac:dyDescent="0.25">
      <c r="A22" s="5"/>
      <c r="B22" s="53"/>
      <c r="C22" s="15" t="s">
        <v>1226</v>
      </c>
      <c r="D22" s="15"/>
      <c r="E22" s="23" t="s">
        <v>7</v>
      </c>
      <c r="F22" s="24">
        <v>3</v>
      </c>
      <c r="G22" s="25">
        <v>26250</v>
      </c>
      <c r="H22" s="18">
        <f t="shared" si="0"/>
        <v>78750</v>
      </c>
      <c r="I22" s="44"/>
      <c r="K22" s="43">
        <f>G22*2%</f>
        <v>525</v>
      </c>
      <c r="L22" s="48">
        <f t="shared" si="1"/>
        <v>1575</v>
      </c>
      <c r="M22" s="43"/>
      <c r="N22" s="43"/>
    </row>
    <row r="23" spans="1:14" x14ac:dyDescent="0.25">
      <c r="A23" s="5"/>
      <c r="B23" s="53"/>
      <c r="C23" s="15"/>
      <c r="D23" s="15"/>
      <c r="E23" s="23"/>
      <c r="F23" s="24"/>
      <c r="G23" s="43" t="s">
        <v>1556</v>
      </c>
      <c r="H23" s="18" t="str">
        <f t="shared" si="0"/>
        <v/>
      </c>
      <c r="I23" s="44"/>
      <c r="K23" s="43"/>
      <c r="L23" s="48" t="str">
        <f t="shared" si="1"/>
        <v/>
      </c>
      <c r="M23" s="43"/>
      <c r="N23" s="43"/>
    </row>
    <row r="24" spans="1:14" x14ac:dyDescent="0.25">
      <c r="A24" s="5"/>
      <c r="B24" s="53"/>
      <c r="C24" s="15" t="s">
        <v>1224</v>
      </c>
      <c r="D24" s="15"/>
      <c r="E24" s="23"/>
      <c r="G24" s="46" t="s">
        <v>1556</v>
      </c>
      <c r="H24" s="18" t="str">
        <f t="shared" si="0"/>
        <v/>
      </c>
      <c r="I24" s="44"/>
      <c r="K24" s="43"/>
      <c r="L24" s="48" t="str">
        <f t="shared" si="1"/>
        <v/>
      </c>
      <c r="M24" s="43"/>
      <c r="N24" s="43"/>
    </row>
    <row r="25" spans="1:14" x14ac:dyDescent="0.25">
      <c r="A25" s="5"/>
      <c r="B25" s="53"/>
      <c r="C25" s="15"/>
      <c r="D25" s="15"/>
      <c r="E25" s="23"/>
      <c r="G25" s="46" t="s">
        <v>1556</v>
      </c>
      <c r="H25" s="18" t="str">
        <f t="shared" si="0"/>
        <v/>
      </c>
      <c r="I25" s="44"/>
      <c r="K25" s="43"/>
      <c r="L25" s="48" t="str">
        <f t="shared" si="1"/>
        <v/>
      </c>
      <c r="M25" s="43"/>
      <c r="N25" s="43"/>
    </row>
    <row r="26" spans="1:14" x14ac:dyDescent="0.25">
      <c r="A26" s="5"/>
      <c r="B26" s="53"/>
      <c r="C26" s="15" t="s">
        <v>1226</v>
      </c>
      <c r="D26" s="15"/>
      <c r="E26" s="23" t="s">
        <v>7</v>
      </c>
      <c r="F26" s="24">
        <v>1</v>
      </c>
      <c r="G26" s="25">
        <v>26250</v>
      </c>
      <c r="H26" s="18">
        <f t="shared" si="0"/>
        <v>26250</v>
      </c>
      <c r="K26" s="43">
        <f>G26*2%</f>
        <v>525</v>
      </c>
      <c r="L26" s="48">
        <f t="shared" si="1"/>
        <v>525</v>
      </c>
      <c r="M26" s="43"/>
      <c r="N26" s="43"/>
    </row>
    <row r="27" spans="1:14" x14ac:dyDescent="0.25">
      <c r="A27" s="5"/>
      <c r="B27" s="53"/>
      <c r="C27" s="1"/>
      <c r="D27" s="48"/>
      <c r="E27" s="23"/>
      <c r="F27" s="24"/>
      <c r="G27" s="48" t="s">
        <v>1556</v>
      </c>
      <c r="H27" s="18" t="str">
        <f t="shared" si="0"/>
        <v/>
      </c>
      <c r="K27" s="43"/>
      <c r="L27" s="48" t="str">
        <f t="shared" si="1"/>
        <v/>
      </c>
      <c r="M27" s="43"/>
      <c r="N27" s="43"/>
    </row>
    <row r="28" spans="1:14" x14ac:dyDescent="0.25">
      <c r="A28" s="5"/>
      <c r="B28" s="53"/>
      <c r="C28" s="15" t="s">
        <v>1225</v>
      </c>
      <c r="D28" s="15"/>
      <c r="E28" s="23"/>
      <c r="G28" s="41" t="s">
        <v>1556</v>
      </c>
      <c r="H28" s="18" t="str">
        <f t="shared" si="0"/>
        <v/>
      </c>
      <c r="K28" s="43"/>
      <c r="L28" s="48" t="str">
        <f t="shared" si="1"/>
        <v/>
      </c>
      <c r="M28" s="43"/>
      <c r="N28" s="43"/>
    </row>
    <row r="29" spans="1:14" x14ac:dyDescent="0.25">
      <c r="A29" s="5"/>
      <c r="B29" s="53"/>
      <c r="C29" s="15"/>
      <c r="D29" s="15"/>
      <c r="E29" s="23"/>
      <c r="F29" s="24"/>
      <c r="G29" s="48" t="s">
        <v>1556</v>
      </c>
      <c r="H29" s="18" t="str">
        <f t="shared" si="0"/>
        <v/>
      </c>
      <c r="K29" s="43"/>
      <c r="L29" s="48" t="str">
        <f t="shared" si="1"/>
        <v/>
      </c>
      <c r="M29" s="43"/>
      <c r="N29" s="43"/>
    </row>
    <row r="30" spans="1:14" x14ac:dyDescent="0.25">
      <c r="A30" s="5"/>
      <c r="B30" s="53"/>
      <c r="C30" s="15" t="s">
        <v>1226</v>
      </c>
      <c r="D30" s="15"/>
      <c r="E30" s="23" t="s">
        <v>7</v>
      </c>
      <c r="F30" s="24">
        <v>3</v>
      </c>
      <c r="G30" s="25">
        <v>26250</v>
      </c>
      <c r="H30" s="18">
        <f t="shared" si="0"/>
        <v>78750</v>
      </c>
      <c r="K30" s="43">
        <f>G30*2%</f>
        <v>525</v>
      </c>
      <c r="L30" s="48">
        <f t="shared" si="1"/>
        <v>1575</v>
      </c>
      <c r="M30" s="43"/>
      <c r="N30" s="43"/>
    </row>
    <row r="31" spans="1:14" x14ac:dyDescent="0.25">
      <c r="A31" s="5"/>
      <c r="B31" s="53"/>
      <c r="C31" s="15"/>
      <c r="D31" s="15"/>
      <c r="E31" s="23"/>
      <c r="F31" s="24"/>
      <c r="G31" s="48"/>
      <c r="H31" s="18" t="str">
        <f t="shared" si="0"/>
        <v/>
      </c>
      <c r="K31" s="43"/>
      <c r="L31" s="48" t="str">
        <f t="shared" si="1"/>
        <v/>
      </c>
      <c r="M31" s="43"/>
      <c r="N31" s="43"/>
    </row>
    <row r="32" spans="1:14" x14ac:dyDescent="0.25">
      <c r="A32" s="5"/>
      <c r="B32" s="53"/>
      <c r="C32" s="15"/>
      <c r="D32" s="15"/>
      <c r="E32" s="23"/>
      <c r="F32" s="24"/>
      <c r="G32" s="41"/>
      <c r="H32" s="18" t="str">
        <f>IF(E32="","",F36*G32)</f>
        <v/>
      </c>
      <c r="I32" s="45"/>
      <c r="K32" s="43"/>
      <c r="L32" s="48" t="str">
        <f t="shared" si="1"/>
        <v/>
      </c>
      <c r="M32" s="43"/>
      <c r="N32" s="43"/>
    </row>
    <row r="33" spans="1:14" x14ac:dyDescent="0.25">
      <c r="A33" s="5"/>
      <c r="B33" s="53"/>
      <c r="C33" s="15"/>
      <c r="D33" s="15"/>
      <c r="E33" s="23"/>
      <c r="F33" s="27"/>
      <c r="G33" s="30"/>
      <c r="H33" s="18"/>
      <c r="I33" s="19"/>
      <c r="K33" s="43"/>
      <c r="L33" s="48" t="str">
        <f t="shared" si="1"/>
        <v/>
      </c>
      <c r="M33" s="43"/>
      <c r="N33" s="43"/>
    </row>
    <row r="34" spans="1:14" s="39" customFormat="1" x14ac:dyDescent="0.25">
      <c r="A34" s="71"/>
      <c r="B34" s="53"/>
      <c r="C34" s="15"/>
      <c r="D34" s="15"/>
      <c r="E34" s="16"/>
      <c r="F34" s="27"/>
      <c r="G34" s="30"/>
      <c r="H34" s="18"/>
      <c r="I34" s="19"/>
      <c r="K34" s="43"/>
      <c r="L34" s="48" t="str">
        <f t="shared" si="1"/>
        <v/>
      </c>
      <c r="M34" s="43"/>
      <c r="N34" s="43"/>
    </row>
    <row r="35" spans="1:14" x14ac:dyDescent="0.25">
      <c r="A35" s="5"/>
      <c r="B35" s="53"/>
      <c r="C35" s="15"/>
      <c r="D35" s="15"/>
      <c r="E35" s="23"/>
      <c r="F35" s="24"/>
      <c r="G35" s="41"/>
      <c r="H35" s="18" t="str">
        <f t="shared" si="0"/>
        <v/>
      </c>
      <c r="I35" s="45"/>
      <c r="K35" s="43"/>
      <c r="L35" s="48" t="str">
        <f t="shared" si="1"/>
        <v/>
      </c>
      <c r="M35" s="43"/>
      <c r="N35" s="43"/>
    </row>
    <row r="36" spans="1:14" x14ac:dyDescent="0.25">
      <c r="A36" s="5"/>
      <c r="B36" s="53"/>
      <c r="C36" s="15"/>
      <c r="D36" s="15"/>
      <c r="E36" s="23"/>
      <c r="F36" s="24"/>
      <c r="G36" s="41"/>
      <c r="H36" s="18" t="str">
        <f t="shared" si="0"/>
        <v/>
      </c>
      <c r="I36" s="45"/>
      <c r="K36" s="43"/>
      <c r="L36" s="48" t="str">
        <f t="shared" si="1"/>
        <v/>
      </c>
      <c r="M36" s="43"/>
      <c r="N36" s="43"/>
    </row>
    <row r="37" spans="1:14" x14ac:dyDescent="0.25">
      <c r="A37" s="5"/>
      <c r="B37" s="53"/>
      <c r="C37" s="15"/>
      <c r="D37" s="15"/>
      <c r="E37" s="23"/>
      <c r="F37" s="24"/>
      <c r="G37" s="50"/>
      <c r="H37" s="18" t="str">
        <f t="shared" si="0"/>
        <v/>
      </c>
      <c r="I37" s="44"/>
      <c r="K37" s="43"/>
      <c r="L37" s="48" t="str">
        <f t="shared" si="1"/>
        <v/>
      </c>
      <c r="M37" s="43"/>
      <c r="N37" s="43"/>
    </row>
    <row r="38" spans="1:14" x14ac:dyDescent="0.25">
      <c r="A38" s="5"/>
      <c r="B38" s="53"/>
      <c r="C38" s="15"/>
      <c r="D38" s="15"/>
      <c r="E38" s="23"/>
      <c r="F38" s="24"/>
      <c r="G38" s="50"/>
      <c r="H38" s="18" t="str">
        <f t="shared" si="0"/>
        <v/>
      </c>
      <c r="I38" s="44"/>
      <c r="K38" s="43"/>
      <c r="L38" s="48" t="str">
        <f t="shared" si="1"/>
        <v/>
      </c>
      <c r="M38" s="43"/>
      <c r="N38" s="43"/>
    </row>
    <row r="39" spans="1:14" x14ac:dyDescent="0.25">
      <c r="A39" s="5"/>
      <c r="B39" s="53"/>
      <c r="C39" s="15"/>
      <c r="D39" s="15"/>
      <c r="E39" s="23"/>
      <c r="F39" s="24"/>
      <c r="G39" s="46"/>
      <c r="H39" s="18" t="str">
        <f t="shared" si="0"/>
        <v/>
      </c>
      <c r="I39" s="44"/>
      <c r="K39" s="43"/>
      <c r="L39" s="48" t="str">
        <f t="shared" si="1"/>
        <v/>
      </c>
      <c r="M39" s="43"/>
      <c r="N39" s="43"/>
    </row>
    <row r="40" spans="1:14" x14ac:dyDescent="0.25">
      <c r="A40" s="5"/>
      <c r="B40" s="53"/>
      <c r="C40" s="15"/>
      <c r="D40" s="15"/>
      <c r="E40" s="23"/>
      <c r="F40" s="24"/>
      <c r="G40" s="46"/>
      <c r="H40" s="18" t="str">
        <f t="shared" si="0"/>
        <v/>
      </c>
      <c r="I40" s="44"/>
      <c r="K40" s="43"/>
      <c r="L40" s="48" t="str">
        <f t="shared" si="1"/>
        <v/>
      </c>
      <c r="M40" s="43"/>
      <c r="N40" s="43"/>
    </row>
    <row r="41" spans="1:14" x14ac:dyDescent="0.25">
      <c r="A41" s="5"/>
      <c r="B41" s="53"/>
      <c r="C41" s="15"/>
      <c r="D41" s="15"/>
      <c r="E41" s="23"/>
      <c r="F41" s="23"/>
      <c r="G41" s="43"/>
      <c r="H41" s="18" t="str">
        <f t="shared" si="0"/>
        <v/>
      </c>
      <c r="I41" s="44"/>
      <c r="K41" s="43"/>
      <c r="L41" s="48" t="str">
        <f t="shared" si="1"/>
        <v/>
      </c>
      <c r="M41" s="43"/>
      <c r="N41" s="43"/>
    </row>
    <row r="42" spans="1:14" x14ac:dyDescent="0.25">
      <c r="A42" s="5"/>
      <c r="B42" s="53"/>
      <c r="C42" s="15"/>
      <c r="D42" s="15"/>
      <c r="E42" s="23"/>
      <c r="F42" s="23"/>
      <c r="G42" s="43"/>
      <c r="H42" s="18" t="str">
        <f t="shared" si="0"/>
        <v/>
      </c>
      <c r="I42" s="44"/>
      <c r="K42" s="43"/>
      <c r="L42" s="48" t="str">
        <f t="shared" si="1"/>
        <v/>
      </c>
      <c r="M42" s="43"/>
      <c r="N42" s="43"/>
    </row>
    <row r="43" spans="1:14" x14ac:dyDescent="0.25">
      <c r="A43" s="5"/>
      <c r="B43" s="53"/>
      <c r="C43" s="15"/>
      <c r="D43" s="15"/>
      <c r="E43" s="23"/>
      <c r="F43" s="23"/>
      <c r="G43" s="41"/>
      <c r="H43" s="18" t="str">
        <f t="shared" si="0"/>
        <v/>
      </c>
      <c r="I43" s="44"/>
      <c r="K43" s="43"/>
      <c r="L43" s="48" t="str">
        <f t="shared" si="1"/>
        <v/>
      </c>
      <c r="M43" s="43"/>
      <c r="N43" s="43"/>
    </row>
    <row r="44" spans="1:14" x14ac:dyDescent="0.25">
      <c r="A44" s="5"/>
      <c r="B44" s="53"/>
      <c r="C44" s="15"/>
      <c r="D44" s="15"/>
      <c r="E44" s="23"/>
      <c r="F44" s="23"/>
      <c r="G44" s="41"/>
      <c r="H44" s="18" t="str">
        <f t="shared" si="0"/>
        <v/>
      </c>
      <c r="I44" s="44"/>
      <c r="K44" s="43"/>
      <c r="L44" s="48" t="str">
        <f t="shared" si="1"/>
        <v/>
      </c>
      <c r="M44" s="43"/>
      <c r="N44" s="43"/>
    </row>
    <row r="45" spans="1:14" x14ac:dyDescent="0.25">
      <c r="A45" s="5"/>
      <c r="B45" s="53"/>
      <c r="C45" s="15"/>
      <c r="D45" s="15"/>
      <c r="E45" s="23"/>
      <c r="F45" s="23"/>
      <c r="G45" s="41"/>
      <c r="H45" s="18" t="str">
        <f t="shared" si="0"/>
        <v/>
      </c>
      <c r="I45" s="44"/>
      <c r="K45" s="43"/>
      <c r="L45" s="48" t="str">
        <f t="shared" si="1"/>
        <v/>
      </c>
      <c r="M45" s="43"/>
      <c r="N45" s="43"/>
    </row>
    <row r="46" spans="1:14" x14ac:dyDescent="0.25">
      <c r="A46" s="5"/>
      <c r="B46" s="53"/>
      <c r="C46" s="15"/>
      <c r="D46" s="15"/>
      <c r="E46" s="23"/>
      <c r="F46" s="23"/>
      <c r="G46" s="41"/>
      <c r="H46" s="18" t="str">
        <f t="shared" si="0"/>
        <v/>
      </c>
      <c r="I46" s="44"/>
      <c r="K46" s="43"/>
      <c r="L46" s="48" t="str">
        <f t="shared" si="1"/>
        <v/>
      </c>
      <c r="M46" s="43"/>
      <c r="N46" s="43"/>
    </row>
    <row r="47" spans="1:14" x14ac:dyDescent="0.25">
      <c r="A47" s="5"/>
      <c r="B47" s="53"/>
      <c r="C47" s="15"/>
      <c r="D47" s="15"/>
      <c r="E47" s="23"/>
      <c r="F47" s="23"/>
      <c r="G47" s="41"/>
      <c r="H47" s="18" t="str">
        <f t="shared" si="0"/>
        <v/>
      </c>
      <c r="I47" s="44"/>
      <c r="K47" s="43"/>
      <c r="L47" s="48" t="str">
        <f t="shared" ref="L47:L74" si="2">IF(K47="","",K47*F47)</f>
        <v/>
      </c>
      <c r="M47" s="43"/>
      <c r="N47" s="43"/>
    </row>
    <row r="48" spans="1:14" x14ac:dyDescent="0.25">
      <c r="A48" s="5"/>
      <c r="B48" s="53"/>
      <c r="C48" s="15"/>
      <c r="D48" s="15"/>
      <c r="E48" s="23"/>
      <c r="F48" s="23"/>
      <c r="G48" s="41"/>
      <c r="H48" s="18" t="str">
        <f t="shared" si="0"/>
        <v/>
      </c>
      <c r="I48" s="44"/>
      <c r="K48" s="43"/>
      <c r="L48" s="48" t="str">
        <f t="shared" si="2"/>
        <v/>
      </c>
      <c r="M48" s="43"/>
      <c r="N48" s="43"/>
    </row>
    <row r="49" spans="1:14" x14ac:dyDescent="0.25">
      <c r="A49" s="5"/>
      <c r="B49" s="53"/>
      <c r="C49" s="15"/>
      <c r="D49" s="15"/>
      <c r="E49" s="23"/>
      <c r="F49" s="23"/>
      <c r="G49" s="41"/>
      <c r="H49" s="18" t="str">
        <f t="shared" si="0"/>
        <v/>
      </c>
      <c r="I49" s="44"/>
      <c r="K49" s="43"/>
      <c r="L49" s="48" t="str">
        <f t="shared" si="2"/>
        <v/>
      </c>
      <c r="M49" s="43"/>
      <c r="N49" s="43"/>
    </row>
    <row r="50" spans="1:14" x14ac:dyDescent="0.25">
      <c r="A50" s="5"/>
      <c r="B50" s="53"/>
      <c r="C50" s="15"/>
      <c r="D50" s="15"/>
      <c r="E50" s="23"/>
      <c r="F50" s="23"/>
      <c r="G50" s="41"/>
      <c r="H50" s="18" t="str">
        <f t="shared" si="0"/>
        <v/>
      </c>
      <c r="I50" s="44"/>
      <c r="K50" s="43"/>
      <c r="L50" s="48" t="str">
        <f t="shared" si="2"/>
        <v/>
      </c>
      <c r="M50" s="43"/>
      <c r="N50" s="43"/>
    </row>
    <row r="51" spans="1:14" x14ac:dyDescent="0.25">
      <c r="A51" s="5"/>
      <c r="B51" s="53"/>
      <c r="C51" s="15"/>
      <c r="D51" s="15"/>
      <c r="E51" s="23"/>
      <c r="F51" s="23"/>
      <c r="G51" s="51"/>
      <c r="H51" s="18" t="str">
        <f t="shared" si="0"/>
        <v/>
      </c>
      <c r="I51" s="44"/>
      <c r="K51" s="43"/>
      <c r="L51" s="48" t="str">
        <f t="shared" si="2"/>
        <v/>
      </c>
      <c r="M51" s="43"/>
      <c r="N51" s="43"/>
    </row>
    <row r="52" spans="1:14" x14ac:dyDescent="0.25">
      <c r="A52" s="5"/>
      <c r="B52" s="53"/>
      <c r="C52" s="15"/>
      <c r="D52" s="15"/>
      <c r="E52" s="23"/>
      <c r="F52" s="23"/>
      <c r="G52" s="51"/>
      <c r="H52" s="18" t="str">
        <f t="shared" si="0"/>
        <v/>
      </c>
      <c r="I52" s="44"/>
      <c r="K52" s="43"/>
      <c r="L52" s="48" t="str">
        <f t="shared" si="2"/>
        <v/>
      </c>
      <c r="M52" s="43"/>
      <c r="N52" s="43"/>
    </row>
    <row r="53" spans="1:14" x14ac:dyDescent="0.25">
      <c r="A53" s="5"/>
      <c r="B53" s="53"/>
      <c r="C53" s="15"/>
      <c r="D53" s="15"/>
      <c r="E53" s="23"/>
      <c r="F53" s="23"/>
      <c r="G53" s="41"/>
      <c r="H53" s="18" t="str">
        <f t="shared" si="0"/>
        <v/>
      </c>
      <c r="I53" s="44"/>
      <c r="K53" s="43"/>
      <c r="L53" s="48" t="str">
        <f t="shared" si="2"/>
        <v/>
      </c>
      <c r="M53" s="43"/>
      <c r="N53" s="43"/>
    </row>
    <row r="54" spans="1:14" x14ac:dyDescent="0.25">
      <c r="A54" s="5"/>
      <c r="B54" s="53"/>
      <c r="C54" s="15"/>
      <c r="D54" s="15"/>
      <c r="E54" s="23"/>
      <c r="F54" s="23"/>
      <c r="G54" s="41"/>
      <c r="H54" s="18" t="str">
        <f t="shared" si="0"/>
        <v/>
      </c>
      <c r="I54" s="44"/>
      <c r="K54" s="43"/>
      <c r="L54" s="48" t="str">
        <f t="shared" si="2"/>
        <v/>
      </c>
      <c r="M54" s="43"/>
      <c r="N54" s="43"/>
    </row>
    <row r="55" spans="1:14" x14ac:dyDescent="0.25">
      <c r="A55" s="5"/>
      <c r="B55" s="53"/>
      <c r="C55" s="15"/>
      <c r="D55" s="15"/>
      <c r="E55" s="23"/>
      <c r="F55" s="23"/>
      <c r="G55" s="41"/>
      <c r="H55" s="18" t="str">
        <f t="shared" si="0"/>
        <v/>
      </c>
      <c r="I55" s="44"/>
      <c r="K55" s="43"/>
      <c r="L55" s="48" t="str">
        <f t="shared" si="2"/>
        <v/>
      </c>
      <c r="M55" s="43"/>
      <c r="N55" s="43"/>
    </row>
    <row r="56" spans="1:14" x14ac:dyDescent="0.25">
      <c r="A56" s="5"/>
      <c r="B56" s="53"/>
      <c r="C56" s="15"/>
      <c r="D56" s="15"/>
      <c r="E56" s="23"/>
      <c r="F56" s="23"/>
      <c r="G56" s="41"/>
      <c r="H56" s="18" t="str">
        <f t="shared" si="0"/>
        <v/>
      </c>
      <c r="I56" s="44"/>
      <c r="K56" s="43"/>
      <c r="L56" s="48" t="str">
        <f t="shared" si="2"/>
        <v/>
      </c>
      <c r="M56" s="43"/>
      <c r="N56" s="43"/>
    </row>
    <row r="57" spans="1:14" x14ac:dyDescent="0.25">
      <c r="A57" s="5"/>
      <c r="B57" s="53"/>
      <c r="C57" s="15"/>
      <c r="D57" s="15"/>
      <c r="E57" s="40"/>
      <c r="F57" s="40"/>
      <c r="G57" s="41"/>
      <c r="H57" s="18" t="str">
        <f t="shared" si="0"/>
        <v/>
      </c>
      <c r="K57" s="43"/>
      <c r="L57" s="48" t="str">
        <f t="shared" si="2"/>
        <v/>
      </c>
      <c r="M57" s="43"/>
      <c r="N57" s="43"/>
    </row>
    <row r="58" spans="1:14" x14ac:dyDescent="0.25">
      <c r="A58" s="5"/>
      <c r="B58" s="53"/>
      <c r="C58" s="15"/>
      <c r="D58" s="15"/>
      <c r="E58" s="23"/>
      <c r="F58" s="23"/>
      <c r="G58" s="41"/>
      <c r="H58" s="18" t="str">
        <f t="shared" si="0"/>
        <v/>
      </c>
      <c r="I58" s="44"/>
      <c r="K58" s="43"/>
      <c r="L58" s="48" t="str">
        <f t="shared" si="2"/>
        <v/>
      </c>
      <c r="M58" s="43"/>
      <c r="N58" s="43"/>
    </row>
    <row r="59" spans="1:14" x14ac:dyDescent="0.25">
      <c r="A59" s="5"/>
      <c r="B59" s="53"/>
      <c r="C59" s="15"/>
      <c r="D59" s="15"/>
      <c r="E59" s="40"/>
      <c r="F59" s="40"/>
      <c r="G59" s="41"/>
      <c r="H59" s="18" t="str">
        <f t="shared" si="0"/>
        <v/>
      </c>
      <c r="I59" s="52"/>
      <c r="K59" s="43"/>
      <c r="L59" s="48" t="str">
        <f t="shared" si="2"/>
        <v/>
      </c>
      <c r="M59" s="43"/>
      <c r="N59" s="43"/>
    </row>
    <row r="60" spans="1:14" x14ac:dyDescent="0.25">
      <c r="A60" s="5"/>
      <c r="B60" s="53"/>
      <c r="C60" s="15"/>
      <c r="D60" s="15"/>
      <c r="E60" s="40"/>
      <c r="F60" s="40"/>
      <c r="G60" s="41"/>
      <c r="H60" s="18" t="str">
        <f t="shared" si="0"/>
        <v/>
      </c>
      <c r="K60" s="43"/>
      <c r="L60" s="48" t="str">
        <f t="shared" si="2"/>
        <v/>
      </c>
      <c r="M60" s="43"/>
      <c r="N60" s="43"/>
    </row>
    <row r="61" spans="1:14" x14ac:dyDescent="0.25">
      <c r="A61" s="5"/>
      <c r="B61" s="53"/>
      <c r="C61" s="15"/>
      <c r="D61" s="15"/>
      <c r="E61" s="23"/>
      <c r="F61" s="23"/>
      <c r="G61" s="41"/>
      <c r="H61" s="18" t="str">
        <f t="shared" si="0"/>
        <v/>
      </c>
      <c r="I61" s="44"/>
      <c r="K61" s="43"/>
      <c r="L61" s="48" t="str">
        <f t="shared" si="2"/>
        <v/>
      </c>
      <c r="M61" s="43"/>
      <c r="N61" s="43"/>
    </row>
    <row r="62" spans="1:14" x14ac:dyDescent="0.25">
      <c r="A62" s="5"/>
      <c r="B62" s="53"/>
      <c r="C62" s="15"/>
      <c r="D62" s="15"/>
      <c r="E62" s="23"/>
      <c r="F62" s="23"/>
      <c r="G62" s="41"/>
      <c r="H62" s="18" t="str">
        <f t="shared" si="0"/>
        <v/>
      </c>
      <c r="I62" s="44"/>
      <c r="K62" s="43"/>
      <c r="L62" s="48" t="str">
        <f t="shared" si="2"/>
        <v/>
      </c>
      <c r="M62" s="43"/>
      <c r="N62" s="43"/>
    </row>
    <row r="63" spans="1:14" x14ac:dyDescent="0.25">
      <c r="A63" s="5"/>
      <c r="B63" s="53"/>
      <c r="C63" s="15"/>
      <c r="D63" s="15"/>
      <c r="E63" s="23"/>
      <c r="F63" s="23"/>
      <c r="G63" s="41"/>
      <c r="H63" s="18" t="str">
        <f t="shared" si="0"/>
        <v/>
      </c>
      <c r="I63" s="44"/>
      <c r="K63" s="43"/>
      <c r="L63" s="48" t="str">
        <f t="shared" si="2"/>
        <v/>
      </c>
      <c r="M63" s="43"/>
      <c r="N63" s="43"/>
    </row>
    <row r="64" spans="1:14" x14ac:dyDescent="0.25">
      <c r="A64" s="5"/>
      <c r="B64" s="53"/>
      <c r="C64" s="15"/>
      <c r="D64" s="15"/>
      <c r="E64" s="23"/>
      <c r="F64" s="23"/>
      <c r="G64" s="41"/>
      <c r="H64" s="18" t="str">
        <f t="shared" si="0"/>
        <v/>
      </c>
      <c r="I64" s="44"/>
      <c r="K64" s="43"/>
      <c r="L64" s="48" t="str">
        <f t="shared" si="2"/>
        <v/>
      </c>
      <c r="M64" s="43"/>
      <c r="N64" s="43"/>
    </row>
    <row r="65" spans="1:14" x14ac:dyDescent="0.25">
      <c r="A65" s="5"/>
      <c r="B65" s="53"/>
      <c r="C65" s="15"/>
      <c r="D65" s="15"/>
      <c r="E65" s="23"/>
      <c r="F65" s="23"/>
      <c r="G65" s="41"/>
      <c r="H65" s="18" t="str">
        <f t="shared" si="0"/>
        <v/>
      </c>
      <c r="I65" s="44"/>
      <c r="K65" s="43"/>
      <c r="L65" s="48" t="str">
        <f t="shared" si="2"/>
        <v/>
      </c>
      <c r="M65" s="43"/>
      <c r="N65" s="43"/>
    </row>
    <row r="66" spans="1:14" x14ac:dyDescent="0.25">
      <c r="A66" s="5"/>
      <c r="B66" s="53"/>
      <c r="C66" s="15"/>
      <c r="D66" s="15"/>
      <c r="E66" s="23"/>
      <c r="F66" s="23"/>
      <c r="G66" s="41"/>
      <c r="H66" s="18" t="str">
        <f t="shared" si="0"/>
        <v/>
      </c>
      <c r="I66" s="44"/>
      <c r="K66" s="43"/>
      <c r="L66" s="48" t="str">
        <f t="shared" si="2"/>
        <v/>
      </c>
      <c r="M66" s="43"/>
      <c r="N66" s="43"/>
    </row>
    <row r="67" spans="1:14" x14ac:dyDescent="0.25">
      <c r="A67" s="5"/>
      <c r="B67" s="53"/>
      <c r="C67" s="15"/>
      <c r="D67" s="15"/>
      <c r="E67" s="23"/>
      <c r="F67" s="23"/>
      <c r="G67" s="41"/>
      <c r="H67" s="18" t="str">
        <f t="shared" si="0"/>
        <v/>
      </c>
      <c r="I67" s="44"/>
      <c r="K67" s="43"/>
      <c r="L67" s="48" t="str">
        <f t="shared" si="2"/>
        <v/>
      </c>
      <c r="M67" s="43"/>
      <c r="N67" s="43"/>
    </row>
    <row r="68" spans="1:14" x14ac:dyDescent="0.25">
      <c r="A68" s="5"/>
      <c r="B68" s="53"/>
      <c r="C68" s="15"/>
      <c r="D68" s="15"/>
      <c r="E68" s="23"/>
      <c r="F68" s="23"/>
      <c r="G68" s="41"/>
      <c r="H68" s="18" t="str">
        <f t="shared" si="0"/>
        <v/>
      </c>
      <c r="I68" s="44"/>
      <c r="K68" s="43"/>
      <c r="L68" s="48" t="str">
        <f t="shared" si="2"/>
        <v/>
      </c>
      <c r="M68" s="43"/>
      <c r="N68" s="43"/>
    </row>
    <row r="69" spans="1:14" x14ac:dyDescent="0.25">
      <c r="A69" s="5"/>
      <c r="B69" s="53"/>
      <c r="C69" s="15"/>
      <c r="D69" s="15"/>
      <c r="E69" s="23"/>
      <c r="F69" s="23"/>
      <c r="G69" s="41"/>
      <c r="H69" s="18" t="str">
        <f t="shared" si="0"/>
        <v/>
      </c>
      <c r="I69" s="44"/>
      <c r="K69" s="43"/>
      <c r="L69" s="48" t="str">
        <f t="shared" si="2"/>
        <v/>
      </c>
      <c r="M69" s="43"/>
      <c r="N69" s="43"/>
    </row>
    <row r="70" spans="1:14" x14ac:dyDescent="0.25">
      <c r="A70" s="5"/>
      <c r="B70" s="53"/>
      <c r="C70" s="15"/>
      <c r="D70" s="15"/>
      <c r="E70" s="23"/>
      <c r="F70" s="23"/>
      <c r="G70" s="41"/>
      <c r="H70" s="18"/>
      <c r="I70" s="44"/>
      <c r="K70" s="43"/>
      <c r="L70" s="48" t="str">
        <f t="shared" si="2"/>
        <v/>
      </c>
      <c r="M70" s="43"/>
      <c r="N70" s="43"/>
    </row>
    <row r="71" spans="1:14" x14ac:dyDescent="0.25">
      <c r="A71" s="5"/>
      <c r="B71" s="53"/>
      <c r="C71" s="15"/>
      <c r="D71" s="15"/>
      <c r="E71" s="23"/>
      <c r="F71" s="23"/>
      <c r="G71" s="41"/>
      <c r="H71" s="18" t="str">
        <f>IF(E71="","",F71*G71)</f>
        <v/>
      </c>
      <c r="I71" s="44"/>
      <c r="K71" s="43"/>
      <c r="L71" s="48" t="str">
        <f t="shared" si="2"/>
        <v/>
      </c>
      <c r="M71" s="43"/>
      <c r="N71" s="43"/>
    </row>
    <row r="72" spans="1:14" x14ac:dyDescent="0.25">
      <c r="A72" s="5"/>
      <c r="B72" s="53"/>
      <c r="C72" s="15"/>
      <c r="D72" s="15"/>
      <c r="E72" s="23"/>
      <c r="F72" s="23"/>
      <c r="G72" s="41"/>
      <c r="H72" s="18" t="str">
        <f>IF(E72="","",F72*G72)</f>
        <v/>
      </c>
      <c r="I72" s="44"/>
      <c r="K72" s="43"/>
      <c r="L72" s="48" t="str">
        <f t="shared" si="2"/>
        <v/>
      </c>
      <c r="M72" s="43"/>
      <c r="N72" s="43"/>
    </row>
    <row r="73" spans="1:14" x14ac:dyDescent="0.25">
      <c r="A73" s="5"/>
      <c r="B73" s="53"/>
      <c r="C73" s="15"/>
      <c r="D73" s="15"/>
      <c r="E73" s="23"/>
      <c r="F73" s="23"/>
      <c r="G73" s="41"/>
      <c r="H73" s="18" t="str">
        <f>IF(E73="","",F73*G73)</f>
        <v/>
      </c>
      <c r="I73" s="44"/>
      <c r="K73" s="43"/>
      <c r="L73" s="48" t="str">
        <f t="shared" si="2"/>
        <v/>
      </c>
      <c r="M73" s="43"/>
      <c r="N73" s="43"/>
    </row>
    <row r="74" spans="1:14" x14ac:dyDescent="0.25">
      <c r="A74" s="5"/>
      <c r="B74" s="53"/>
      <c r="C74" s="15"/>
      <c r="D74" s="15"/>
      <c r="E74" s="23"/>
      <c r="F74" s="23"/>
      <c r="G74" s="41"/>
      <c r="H74" s="18" t="str">
        <f>IF(E74="","",F74*G74)</f>
        <v/>
      </c>
      <c r="I74" s="44"/>
      <c r="K74" s="43"/>
      <c r="L74" s="48" t="str">
        <f t="shared" si="2"/>
        <v/>
      </c>
      <c r="M74" s="43"/>
      <c r="N74" s="43"/>
    </row>
    <row r="75" spans="1:14" s="31" customFormat="1" ht="24.75" customHeight="1" x14ac:dyDescent="0.25">
      <c r="B75" s="164" t="str">
        <f>$B$12</f>
        <v>3/C13.3</v>
      </c>
      <c r="C75" s="33" t="s">
        <v>957</v>
      </c>
      <c r="D75" s="33"/>
      <c r="E75" s="34"/>
      <c r="F75" s="35"/>
      <c r="G75" s="34"/>
      <c r="H75" s="36">
        <f>SUM(H10:H74)</f>
        <v>236250</v>
      </c>
      <c r="I75" s="37"/>
      <c r="L75" s="36">
        <f>SUM(L10:L74)</f>
        <v>4725</v>
      </c>
    </row>
  </sheetData>
  <mergeCells count="4">
    <mergeCell ref="F2:H2"/>
    <mergeCell ref="B5:G5"/>
    <mergeCell ref="H5:H8"/>
    <mergeCell ref="B6:G8"/>
  </mergeCells>
  <printOptions horizontalCentered="1"/>
  <pageMargins left="0.43307086614173229" right="0.31496062992125984" top="0.43307086614173229" bottom="0.62992125984251968" header="0.35433070866141736" footer="0.31496062992125984"/>
  <pageSetup paperSize="9" scale="78"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CD2F0-E05C-4937-85FC-66C972D167C7}">
  <sheetPr>
    <tabColor rgb="FF92D050"/>
  </sheetPr>
  <dimension ref="B1:N67"/>
  <sheetViews>
    <sheetView view="pageBreakPreview" topLeftCell="A7" zoomScaleNormal="125" zoomScaleSheetLayoutView="100" zoomScalePageLayoutView="125" workbookViewId="0">
      <selection activeCell="L25" sqref="L25"/>
    </sheetView>
  </sheetViews>
  <sheetFormatPr defaultColWidth="6.6640625" defaultRowHeight="13.2" x14ac:dyDescent="0.25"/>
  <cols>
    <col min="1" max="1" width="0.6640625" style="1" customWidth="1"/>
    <col min="2" max="2" width="11.5546875" style="38" customWidth="1"/>
    <col min="3" max="3" width="45.5546875" style="3" customWidth="1"/>
    <col min="4" max="4" width="4.8867187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1" width="6.6640625" style="1"/>
    <col min="12" max="12" width="10.6640625" style="1" bestFit="1" customWidth="1"/>
    <col min="13" max="16384" width="6.6640625" style="1"/>
  </cols>
  <sheetData>
    <row r="1" spans="2:14" x14ac:dyDescent="0.25">
      <c r="H1" s="234">
        <f>MAX(H9:H500)</f>
        <v>198450</v>
      </c>
    </row>
    <row r="2" spans="2:14" x14ac:dyDescent="0.25">
      <c r="B2" s="2" t="str">
        <f>Client1</f>
        <v>Province of KwaZulu-Natal</v>
      </c>
      <c r="F2" s="510" t="str">
        <f>"Contract No. "&amp;ContractNo</f>
        <v>Contract No. ZNB02215/00000/00/HOD/INF/23/T</v>
      </c>
      <c r="G2" s="510"/>
      <c r="H2" s="510"/>
      <c r="K2" s="402"/>
      <c r="L2" s="402">
        <f>MAX(L3:L245)</f>
        <v>18792</v>
      </c>
      <c r="M2" s="402"/>
      <c r="N2" s="403"/>
    </row>
    <row r="3" spans="2:14" x14ac:dyDescent="0.25">
      <c r="B3" s="96" t="str">
        <f>Client2</f>
        <v>Department of Transport</v>
      </c>
      <c r="K3" s="1" t="s">
        <v>1421</v>
      </c>
      <c r="L3" s="1" t="s">
        <v>1422</v>
      </c>
      <c r="M3" s="1" t="s">
        <v>1423</v>
      </c>
      <c r="N3" s="1" t="s">
        <v>1424</v>
      </c>
    </row>
    <row r="4" spans="2:14" x14ac:dyDescent="0.25">
      <c r="B4" s="84"/>
      <c r="C4" s="84"/>
      <c r="D4" s="84"/>
      <c r="E4" s="85"/>
      <c r="F4" s="85"/>
      <c r="G4" s="86"/>
      <c r="H4" s="98"/>
      <c r="K4" s="86"/>
      <c r="L4" s="86"/>
      <c r="M4" s="86"/>
      <c r="N4" s="86"/>
    </row>
    <row r="5" spans="2:14" x14ac:dyDescent="0.25">
      <c r="B5" s="507" t="s">
        <v>8</v>
      </c>
      <c r="C5" s="508"/>
      <c r="D5" s="508"/>
      <c r="E5" s="508"/>
      <c r="F5" s="508"/>
      <c r="G5" s="508"/>
      <c r="H5" s="519" t="str">
        <f>"CHAPTER "&amp;B12</f>
        <v>CHAPTER 3/C13.4</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20"/>
      <c r="I6" s="9"/>
    </row>
    <row r="7" spans="2:14" ht="12.75" customHeight="1" x14ac:dyDescent="0.25">
      <c r="B7" s="500"/>
      <c r="C7" s="501"/>
      <c r="D7" s="501"/>
      <c r="E7" s="501"/>
      <c r="F7" s="501"/>
      <c r="G7" s="501"/>
      <c r="H7" s="520"/>
      <c r="I7" s="9"/>
    </row>
    <row r="8" spans="2:14" ht="7.5" customHeight="1" x14ac:dyDescent="0.25">
      <c r="B8" s="502"/>
      <c r="C8" s="503"/>
      <c r="D8" s="503"/>
      <c r="E8" s="503"/>
      <c r="F8" s="503"/>
      <c r="G8" s="503"/>
      <c r="H8" s="521"/>
      <c r="I8" s="9"/>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s="10" customFormat="1" ht="25.2" customHeight="1" x14ac:dyDescent="0.25">
      <c r="B10" s="49"/>
      <c r="C10" s="225" t="s">
        <v>1312</v>
      </c>
      <c r="D10" s="492"/>
      <c r="E10" s="54"/>
      <c r="F10" s="54"/>
      <c r="G10" s="54"/>
      <c r="H10" s="54"/>
      <c r="I10" s="13"/>
      <c r="K10" s="17"/>
      <c r="L10" s="17"/>
      <c r="M10" s="17"/>
      <c r="N10" s="17"/>
    </row>
    <row r="11" spans="2:14" x14ac:dyDescent="0.25">
      <c r="B11" s="53"/>
      <c r="C11" s="15"/>
      <c r="D11" s="15"/>
      <c r="E11" s="16"/>
      <c r="F11" s="16"/>
      <c r="G11" s="17"/>
      <c r="H11" s="18" t="str">
        <f t="shared" ref="H11:H25" si="0">IF(E11="","",F11*G11)</f>
        <v/>
      </c>
      <c r="I11" s="19"/>
      <c r="K11" s="43"/>
      <c r="L11" s="43"/>
      <c r="M11" s="43"/>
      <c r="N11" s="43"/>
    </row>
    <row r="12" spans="2:14" x14ac:dyDescent="0.25">
      <c r="B12" s="80" t="s">
        <v>1340</v>
      </c>
      <c r="C12" s="21" t="s">
        <v>421</v>
      </c>
      <c r="D12" s="23" t="s">
        <v>1602</v>
      </c>
      <c r="E12" s="23"/>
      <c r="F12" s="23"/>
      <c r="G12" s="43"/>
      <c r="H12" s="18" t="str">
        <f t="shared" si="0"/>
        <v/>
      </c>
      <c r="I12" s="44"/>
      <c r="K12" s="43"/>
      <c r="L12" s="43"/>
      <c r="M12" s="43"/>
      <c r="N12" s="43"/>
    </row>
    <row r="13" spans="2:14" x14ac:dyDescent="0.25">
      <c r="B13" s="53"/>
      <c r="C13" s="15"/>
      <c r="D13" s="15"/>
      <c r="E13" s="23"/>
      <c r="F13" s="23"/>
      <c r="G13" s="43"/>
      <c r="H13" s="18" t="str">
        <f t="shared" si="0"/>
        <v/>
      </c>
      <c r="I13" s="44"/>
      <c r="K13" s="25"/>
      <c r="L13" s="48" t="str">
        <f t="shared" ref="L13:L46" si="1">IF(K13="","",K13*F13)</f>
        <v/>
      </c>
      <c r="M13" s="25"/>
      <c r="N13" s="25"/>
    </row>
    <row r="14" spans="2:14" x14ac:dyDescent="0.25">
      <c r="B14" s="53" t="s">
        <v>1341</v>
      </c>
      <c r="C14" s="15" t="s">
        <v>1230</v>
      </c>
      <c r="D14" s="15"/>
      <c r="E14" s="23"/>
      <c r="F14" s="23"/>
      <c r="G14" s="43"/>
      <c r="H14" s="18" t="str">
        <f t="shared" si="0"/>
        <v/>
      </c>
      <c r="I14" s="44"/>
      <c r="K14" s="43"/>
      <c r="L14" s="48" t="str">
        <f t="shared" si="1"/>
        <v/>
      </c>
      <c r="M14" s="43"/>
      <c r="N14" s="43"/>
    </row>
    <row r="15" spans="2:14" x14ac:dyDescent="0.25">
      <c r="B15" s="53"/>
      <c r="C15" s="15"/>
      <c r="D15" s="15"/>
      <c r="E15" s="23"/>
      <c r="F15" s="23"/>
      <c r="G15" s="43"/>
      <c r="H15" s="18" t="str">
        <f t="shared" si="0"/>
        <v/>
      </c>
      <c r="I15" s="44"/>
      <c r="K15" s="43"/>
      <c r="L15" s="48" t="str">
        <f t="shared" si="1"/>
        <v/>
      </c>
      <c r="M15" s="43"/>
      <c r="N15" s="43"/>
    </row>
    <row r="16" spans="2:14" x14ac:dyDescent="0.25">
      <c r="B16" s="53" t="s">
        <v>1342</v>
      </c>
      <c r="C16" s="15" t="s">
        <v>1231</v>
      </c>
      <c r="D16" s="15"/>
      <c r="E16" s="23"/>
      <c r="F16" s="24"/>
      <c r="G16" s="25"/>
      <c r="H16" s="18" t="str">
        <f t="shared" si="0"/>
        <v/>
      </c>
      <c r="I16" s="45"/>
      <c r="K16" s="43"/>
      <c r="L16" s="48" t="str">
        <f t="shared" si="1"/>
        <v/>
      </c>
      <c r="M16" s="43"/>
      <c r="N16" s="43"/>
    </row>
    <row r="17" spans="2:14" x14ac:dyDescent="0.25">
      <c r="B17" s="53"/>
      <c r="C17" s="15"/>
      <c r="D17" s="15"/>
      <c r="E17" s="23"/>
      <c r="F17" s="24"/>
      <c r="G17" s="25"/>
      <c r="H17" s="18" t="str">
        <f t="shared" si="0"/>
        <v/>
      </c>
      <c r="I17" s="45"/>
      <c r="K17" s="43"/>
      <c r="L17" s="48" t="str">
        <f t="shared" si="1"/>
        <v/>
      </c>
      <c r="M17" s="43"/>
      <c r="N17" s="43"/>
    </row>
    <row r="18" spans="2:14" x14ac:dyDescent="0.25">
      <c r="B18" s="53"/>
      <c r="C18" s="214" t="s">
        <v>1218</v>
      </c>
      <c r="D18" s="214"/>
      <c r="E18" s="230" t="s">
        <v>1232</v>
      </c>
      <c r="F18" s="24">
        <v>9</v>
      </c>
      <c r="G18" s="25">
        <v>3675</v>
      </c>
      <c r="H18" s="18">
        <f t="shared" si="0"/>
        <v>33075</v>
      </c>
      <c r="I18" s="45"/>
      <c r="K18" s="43">
        <f>_Place</f>
        <v>348</v>
      </c>
      <c r="L18" s="48">
        <f t="shared" si="1"/>
        <v>3132</v>
      </c>
      <c r="M18" s="43"/>
      <c r="N18" s="43"/>
    </row>
    <row r="19" spans="2:14" x14ac:dyDescent="0.25">
      <c r="B19" s="53"/>
      <c r="C19" s="231"/>
      <c r="D19" s="231"/>
      <c r="E19" s="232"/>
      <c r="F19" s="24"/>
      <c r="G19" s="25" t="s">
        <v>1556</v>
      </c>
      <c r="H19" s="18" t="str">
        <f t="shared" si="0"/>
        <v/>
      </c>
      <c r="I19" s="45"/>
      <c r="K19" s="43"/>
      <c r="L19" s="48" t="str">
        <f t="shared" si="1"/>
        <v/>
      </c>
      <c r="M19" s="43"/>
      <c r="N19" s="43"/>
    </row>
    <row r="20" spans="2:14" x14ac:dyDescent="0.25">
      <c r="B20" s="53"/>
      <c r="C20" s="214" t="s">
        <v>1219</v>
      </c>
      <c r="D20" s="214"/>
      <c r="E20" s="230" t="s">
        <v>1232</v>
      </c>
      <c r="F20" s="24">
        <v>20</v>
      </c>
      <c r="G20" s="25">
        <v>3675</v>
      </c>
      <c r="H20" s="18">
        <f t="shared" si="0"/>
        <v>73500</v>
      </c>
      <c r="I20" s="45"/>
      <c r="K20" s="43">
        <f>_Place</f>
        <v>348</v>
      </c>
      <c r="L20" s="48">
        <f t="shared" si="1"/>
        <v>6960</v>
      </c>
      <c r="M20" s="43"/>
      <c r="N20" s="43"/>
    </row>
    <row r="21" spans="2:14" x14ac:dyDescent="0.25">
      <c r="B21" s="53"/>
      <c r="C21" s="231"/>
      <c r="D21" s="231"/>
      <c r="E21" s="232"/>
      <c r="F21" s="24"/>
      <c r="G21" s="25" t="s">
        <v>1556</v>
      </c>
      <c r="H21" s="18" t="str">
        <f t="shared" si="0"/>
        <v/>
      </c>
      <c r="I21" s="45"/>
      <c r="K21" s="43"/>
      <c r="L21" s="48" t="str">
        <f t="shared" si="1"/>
        <v/>
      </c>
      <c r="M21" s="43"/>
      <c r="N21" s="43"/>
    </row>
    <row r="22" spans="2:14" x14ac:dyDescent="0.25">
      <c r="B22" s="53"/>
      <c r="C22" s="214" t="s">
        <v>1220</v>
      </c>
      <c r="D22" s="214"/>
      <c r="E22" s="230" t="s">
        <v>1232</v>
      </c>
      <c r="F22" s="24">
        <v>11</v>
      </c>
      <c r="G22" s="25">
        <v>3675</v>
      </c>
      <c r="H22" s="18">
        <f t="shared" si="0"/>
        <v>40425</v>
      </c>
      <c r="I22" s="45"/>
      <c r="K22" s="43">
        <f>_Place</f>
        <v>348</v>
      </c>
      <c r="L22" s="48">
        <f t="shared" si="1"/>
        <v>3828</v>
      </c>
      <c r="M22" s="43"/>
      <c r="N22" s="43"/>
    </row>
    <row r="23" spans="2:14" x14ac:dyDescent="0.25">
      <c r="B23" s="53"/>
      <c r="C23" s="231"/>
      <c r="D23" s="231"/>
      <c r="E23" s="232"/>
      <c r="F23" s="24"/>
      <c r="G23" s="25" t="s">
        <v>1556</v>
      </c>
      <c r="H23" s="18" t="str">
        <f t="shared" si="0"/>
        <v/>
      </c>
      <c r="I23" s="45"/>
      <c r="K23" s="43"/>
      <c r="L23" s="48" t="str">
        <f t="shared" si="1"/>
        <v/>
      </c>
      <c r="M23" s="43"/>
      <c r="N23" s="43"/>
    </row>
    <row r="24" spans="2:14" x14ac:dyDescent="0.25">
      <c r="B24" s="53"/>
      <c r="C24" s="214" t="s">
        <v>1221</v>
      </c>
      <c r="D24" s="214"/>
      <c r="E24" s="230" t="s">
        <v>1232</v>
      </c>
      <c r="F24" s="24">
        <v>14</v>
      </c>
      <c r="G24" s="25">
        <v>3675</v>
      </c>
      <c r="H24" s="18">
        <f t="shared" si="0"/>
        <v>51450</v>
      </c>
      <c r="I24" s="45"/>
      <c r="K24" s="43">
        <f>_Place</f>
        <v>348</v>
      </c>
      <c r="L24" s="48">
        <f t="shared" si="1"/>
        <v>4872</v>
      </c>
      <c r="M24" s="43"/>
      <c r="N24" s="43"/>
    </row>
    <row r="25" spans="2:14" x14ac:dyDescent="0.25">
      <c r="B25" s="53"/>
      <c r="C25" s="214"/>
      <c r="D25" s="214"/>
      <c r="E25" s="230"/>
      <c r="F25" s="24"/>
      <c r="G25" s="25" t="s">
        <v>1556</v>
      </c>
      <c r="H25" s="18" t="str">
        <f t="shared" si="0"/>
        <v/>
      </c>
      <c r="I25" s="45"/>
      <c r="K25" s="43"/>
      <c r="L25" s="48" t="str">
        <f t="shared" si="1"/>
        <v/>
      </c>
      <c r="M25" s="43"/>
      <c r="N25" s="43"/>
    </row>
    <row r="26" spans="2:14" x14ac:dyDescent="0.25">
      <c r="B26" s="53"/>
      <c r="C26" s="15"/>
      <c r="D26" s="15"/>
      <c r="E26" s="23"/>
      <c r="F26" s="24"/>
      <c r="G26" s="25" t="s">
        <v>1556</v>
      </c>
      <c r="H26" s="18"/>
      <c r="I26" s="45"/>
      <c r="K26" s="43"/>
      <c r="L26" s="48" t="str">
        <f t="shared" si="1"/>
        <v/>
      </c>
      <c r="M26" s="43"/>
      <c r="N26" s="43"/>
    </row>
    <row r="27" spans="2:14" x14ac:dyDescent="0.25">
      <c r="B27" s="53"/>
      <c r="C27" s="15"/>
      <c r="D27" s="15"/>
      <c r="E27" s="23"/>
      <c r="F27" s="24"/>
      <c r="G27" s="25" t="s">
        <v>1556</v>
      </c>
      <c r="H27" s="18"/>
      <c r="I27" s="45"/>
      <c r="K27" s="43"/>
      <c r="L27" s="48" t="str">
        <f t="shared" si="1"/>
        <v/>
      </c>
      <c r="M27" s="43"/>
      <c r="N27" s="43"/>
    </row>
    <row r="28" spans="2:14" x14ac:dyDescent="0.25">
      <c r="B28" s="53"/>
      <c r="C28" s="15"/>
      <c r="D28" s="15"/>
      <c r="E28" s="23"/>
      <c r="F28" s="24"/>
      <c r="G28" s="43" t="s">
        <v>1556</v>
      </c>
      <c r="H28" s="18"/>
      <c r="I28" s="44"/>
      <c r="K28" s="43"/>
      <c r="L28" s="48" t="str">
        <f t="shared" si="1"/>
        <v/>
      </c>
      <c r="M28" s="43"/>
      <c r="N28" s="43"/>
    </row>
    <row r="29" spans="2:14" x14ac:dyDescent="0.25">
      <c r="B29" s="53"/>
      <c r="C29" s="15"/>
      <c r="D29" s="15"/>
      <c r="E29" s="23"/>
      <c r="F29" s="24"/>
      <c r="G29" s="46" t="s">
        <v>1556</v>
      </c>
      <c r="H29" s="18"/>
      <c r="I29" s="44"/>
      <c r="K29" s="43"/>
      <c r="L29" s="48" t="str">
        <f t="shared" si="1"/>
        <v/>
      </c>
      <c r="M29" s="43"/>
      <c r="N29" s="43"/>
    </row>
    <row r="30" spans="2:14" x14ac:dyDescent="0.25">
      <c r="B30" s="53"/>
      <c r="C30" s="15"/>
      <c r="D30" s="15"/>
      <c r="E30" s="23"/>
      <c r="F30" s="24"/>
      <c r="G30" s="48" t="s">
        <v>1556</v>
      </c>
      <c r="H30" s="18"/>
      <c r="K30" s="43"/>
      <c r="L30" s="48" t="str">
        <f t="shared" si="1"/>
        <v/>
      </c>
      <c r="M30" s="43"/>
      <c r="N30" s="43"/>
    </row>
    <row r="31" spans="2:14" x14ac:dyDescent="0.25">
      <c r="B31" s="53"/>
      <c r="C31" s="1"/>
      <c r="D31" s="1"/>
      <c r="E31" s="23"/>
      <c r="F31" s="24"/>
      <c r="G31" s="48"/>
      <c r="H31" s="18"/>
      <c r="K31" s="43"/>
      <c r="L31" s="48" t="str">
        <f t="shared" si="1"/>
        <v/>
      </c>
      <c r="M31" s="43"/>
      <c r="N31" s="43"/>
    </row>
    <row r="32" spans="2:14" x14ac:dyDescent="0.25">
      <c r="B32" s="53"/>
      <c r="C32" s="15"/>
      <c r="D32" s="15"/>
      <c r="E32" s="23"/>
      <c r="F32" s="24"/>
      <c r="G32" s="41"/>
      <c r="H32" s="18"/>
      <c r="K32" s="43"/>
      <c r="L32" s="48" t="str">
        <f t="shared" si="1"/>
        <v/>
      </c>
      <c r="M32" s="43"/>
      <c r="N32" s="43"/>
    </row>
    <row r="33" spans="2:14" x14ac:dyDescent="0.25">
      <c r="B33" s="53"/>
      <c r="C33" s="15"/>
      <c r="D33" s="15"/>
      <c r="E33" s="23"/>
      <c r="F33" s="24"/>
      <c r="G33" s="48"/>
      <c r="H33" s="18"/>
      <c r="K33" s="43"/>
      <c r="L33" s="48" t="str">
        <f t="shared" si="1"/>
        <v/>
      </c>
      <c r="M33" s="43"/>
      <c r="N33" s="43"/>
    </row>
    <row r="34" spans="2:14" x14ac:dyDescent="0.25">
      <c r="B34" s="53"/>
      <c r="C34" s="15"/>
      <c r="D34" s="15"/>
      <c r="E34" s="23"/>
      <c r="F34" s="24"/>
      <c r="G34" s="46"/>
      <c r="H34" s="18"/>
      <c r="K34" s="43"/>
      <c r="L34" s="48" t="str">
        <f t="shared" si="1"/>
        <v/>
      </c>
      <c r="M34" s="43"/>
      <c r="N34" s="43"/>
    </row>
    <row r="35" spans="2:14" x14ac:dyDescent="0.25">
      <c r="B35" s="53"/>
      <c r="C35" s="15"/>
      <c r="D35" s="15"/>
      <c r="E35" s="23"/>
      <c r="F35" s="24"/>
      <c r="G35" s="48"/>
      <c r="H35" s="18"/>
      <c r="K35" s="43"/>
      <c r="L35" s="48" t="str">
        <f t="shared" si="1"/>
        <v/>
      </c>
      <c r="M35" s="43"/>
      <c r="N35" s="43"/>
    </row>
    <row r="36" spans="2:14" x14ac:dyDescent="0.25">
      <c r="B36" s="53"/>
      <c r="C36" s="15"/>
      <c r="D36" s="15"/>
      <c r="E36" s="23"/>
      <c r="F36" s="24"/>
      <c r="G36" s="41"/>
      <c r="H36" s="18"/>
      <c r="I36" s="45"/>
      <c r="K36" s="43"/>
      <c r="L36" s="48" t="str">
        <f t="shared" si="1"/>
        <v/>
      </c>
      <c r="M36" s="43"/>
      <c r="N36" s="43"/>
    </row>
    <row r="37" spans="2:14" x14ac:dyDescent="0.25">
      <c r="B37" s="53"/>
      <c r="C37" s="15"/>
      <c r="D37" s="15"/>
      <c r="E37" s="23"/>
      <c r="F37" s="27"/>
      <c r="G37" s="30"/>
      <c r="H37" s="18"/>
      <c r="I37" s="19"/>
      <c r="K37" s="43"/>
      <c r="L37" s="48" t="str">
        <f t="shared" si="1"/>
        <v/>
      </c>
      <c r="M37" s="43"/>
      <c r="N37" s="43"/>
    </row>
    <row r="38" spans="2:14" s="39" customFormat="1" x14ac:dyDescent="0.25">
      <c r="B38" s="53"/>
      <c r="C38" s="15"/>
      <c r="D38" s="15"/>
      <c r="E38" s="23"/>
      <c r="F38" s="27"/>
      <c r="G38" s="30"/>
      <c r="H38" s="18"/>
      <c r="I38" s="19"/>
      <c r="K38" s="43"/>
      <c r="L38" s="48" t="str">
        <f t="shared" si="1"/>
        <v/>
      </c>
      <c r="M38" s="43"/>
      <c r="N38" s="43"/>
    </row>
    <row r="39" spans="2:14" x14ac:dyDescent="0.25">
      <c r="B39" s="53"/>
      <c r="C39" s="15"/>
      <c r="D39" s="15"/>
      <c r="E39" s="23"/>
      <c r="F39" s="24"/>
      <c r="G39" s="41"/>
      <c r="H39" s="18"/>
      <c r="I39" s="45"/>
      <c r="K39" s="43"/>
      <c r="L39" s="48" t="str">
        <f t="shared" si="1"/>
        <v/>
      </c>
      <c r="M39" s="43"/>
      <c r="N39" s="43"/>
    </row>
    <row r="40" spans="2:14" x14ac:dyDescent="0.25">
      <c r="B40" s="53"/>
      <c r="C40" s="15"/>
      <c r="D40" s="15"/>
      <c r="E40" s="23"/>
      <c r="F40" s="24"/>
      <c r="G40" s="41"/>
      <c r="H40" s="18"/>
      <c r="I40" s="45"/>
      <c r="K40" s="43"/>
      <c r="L40" s="48" t="str">
        <f t="shared" si="1"/>
        <v/>
      </c>
      <c r="M40" s="43"/>
      <c r="N40" s="43"/>
    </row>
    <row r="41" spans="2:14" x14ac:dyDescent="0.25">
      <c r="B41" s="53"/>
      <c r="C41" s="15"/>
      <c r="D41" s="15"/>
      <c r="E41" s="23"/>
      <c r="F41" s="24"/>
      <c r="G41" s="50"/>
      <c r="H41" s="18"/>
      <c r="I41" s="44"/>
      <c r="K41" s="43"/>
      <c r="L41" s="48" t="str">
        <f t="shared" si="1"/>
        <v/>
      </c>
      <c r="M41" s="43"/>
      <c r="N41" s="43"/>
    </row>
    <row r="42" spans="2:14" x14ac:dyDescent="0.25">
      <c r="B42" s="53"/>
      <c r="C42" s="15"/>
      <c r="D42" s="15"/>
      <c r="E42" s="23"/>
      <c r="F42" s="24"/>
      <c r="G42" s="50"/>
      <c r="H42" s="18"/>
      <c r="I42" s="44"/>
      <c r="K42" s="43"/>
      <c r="L42" s="48" t="str">
        <f t="shared" si="1"/>
        <v/>
      </c>
      <c r="M42" s="43"/>
      <c r="N42" s="43"/>
    </row>
    <row r="43" spans="2:14" x14ac:dyDescent="0.25">
      <c r="B43" s="53"/>
      <c r="C43" s="15"/>
      <c r="D43" s="15"/>
      <c r="E43" s="23"/>
      <c r="F43" s="24"/>
      <c r="G43" s="46"/>
      <c r="H43" s="18"/>
      <c r="I43" s="44"/>
      <c r="K43" s="43"/>
      <c r="L43" s="48" t="str">
        <f t="shared" si="1"/>
        <v/>
      </c>
      <c r="M43" s="43"/>
      <c r="N43" s="43"/>
    </row>
    <row r="44" spans="2:14" x14ac:dyDescent="0.25">
      <c r="B44" s="53"/>
      <c r="C44" s="15"/>
      <c r="D44" s="15"/>
      <c r="E44" s="23"/>
      <c r="F44" s="24"/>
      <c r="G44" s="46"/>
      <c r="H44" s="18"/>
      <c r="I44" s="44"/>
      <c r="K44" s="43"/>
      <c r="L44" s="48" t="str">
        <f t="shared" si="1"/>
        <v/>
      </c>
      <c r="M44" s="43"/>
      <c r="N44" s="43"/>
    </row>
    <row r="45" spans="2:14" x14ac:dyDescent="0.25">
      <c r="B45" s="53"/>
      <c r="C45" s="15"/>
      <c r="D45" s="15"/>
      <c r="E45" s="23"/>
      <c r="F45" s="23"/>
      <c r="G45" s="43"/>
      <c r="H45" s="18"/>
      <c r="I45" s="44"/>
      <c r="K45" s="43"/>
      <c r="L45" s="48" t="str">
        <f t="shared" si="1"/>
        <v/>
      </c>
      <c r="M45" s="43"/>
      <c r="N45" s="43"/>
    </row>
    <row r="46" spans="2:14" x14ac:dyDescent="0.25">
      <c r="B46" s="53"/>
      <c r="C46" s="15"/>
      <c r="D46" s="15"/>
      <c r="E46" s="23"/>
      <c r="F46" s="23"/>
      <c r="G46" s="43"/>
      <c r="H46" s="18"/>
      <c r="I46" s="44"/>
      <c r="K46" s="43"/>
      <c r="L46" s="48" t="str">
        <f t="shared" si="1"/>
        <v/>
      </c>
      <c r="M46" s="43"/>
      <c r="N46" s="43"/>
    </row>
    <row r="47" spans="2:14" x14ac:dyDescent="0.25">
      <c r="B47" s="53"/>
      <c r="C47" s="15"/>
      <c r="D47" s="15"/>
      <c r="E47" s="23"/>
      <c r="F47" s="23"/>
      <c r="G47" s="41"/>
      <c r="H47" s="18"/>
      <c r="I47" s="44"/>
      <c r="K47" s="43"/>
      <c r="L47" s="48" t="str">
        <f t="shared" ref="L47:L66" si="2">IF(K47="","",K47*F47)</f>
        <v/>
      </c>
      <c r="M47" s="43"/>
      <c r="N47" s="43"/>
    </row>
    <row r="48" spans="2:14" x14ac:dyDescent="0.25">
      <c r="B48" s="53"/>
      <c r="C48" s="15"/>
      <c r="D48" s="15"/>
      <c r="E48" s="23"/>
      <c r="F48" s="23"/>
      <c r="G48" s="41"/>
      <c r="H48" s="18"/>
      <c r="I48" s="44"/>
      <c r="K48" s="43"/>
      <c r="L48" s="48" t="str">
        <f t="shared" si="2"/>
        <v/>
      </c>
      <c r="M48" s="43"/>
      <c r="N48" s="43"/>
    </row>
    <row r="49" spans="2:14" x14ac:dyDescent="0.25">
      <c r="B49" s="53"/>
      <c r="C49" s="15"/>
      <c r="D49" s="15"/>
      <c r="E49" s="23"/>
      <c r="F49" s="23"/>
      <c r="G49" s="41"/>
      <c r="H49" s="18"/>
      <c r="I49" s="44"/>
      <c r="K49" s="43"/>
      <c r="L49" s="48" t="str">
        <f t="shared" si="2"/>
        <v/>
      </c>
      <c r="M49" s="43"/>
      <c r="N49" s="43"/>
    </row>
    <row r="50" spans="2:14" x14ac:dyDescent="0.25">
      <c r="B50" s="53"/>
      <c r="C50" s="15"/>
      <c r="D50" s="15"/>
      <c r="E50" s="23"/>
      <c r="F50" s="23"/>
      <c r="G50" s="41"/>
      <c r="H50" s="18"/>
      <c r="I50" s="44"/>
      <c r="K50" s="43"/>
      <c r="L50" s="48" t="str">
        <f t="shared" si="2"/>
        <v/>
      </c>
      <c r="M50" s="43"/>
      <c r="N50" s="43"/>
    </row>
    <row r="51" spans="2:14" x14ac:dyDescent="0.25">
      <c r="B51" s="53"/>
      <c r="C51" s="15"/>
      <c r="D51" s="15"/>
      <c r="E51" s="23"/>
      <c r="F51" s="23"/>
      <c r="G51" s="41"/>
      <c r="H51" s="18"/>
      <c r="I51" s="44"/>
      <c r="K51" s="43"/>
      <c r="L51" s="48" t="str">
        <f t="shared" si="2"/>
        <v/>
      </c>
      <c r="M51" s="43"/>
      <c r="N51" s="43"/>
    </row>
    <row r="52" spans="2:14" x14ac:dyDescent="0.25">
      <c r="B52" s="53"/>
      <c r="C52" s="15"/>
      <c r="D52" s="15"/>
      <c r="E52" s="23"/>
      <c r="F52" s="23"/>
      <c r="G52" s="41"/>
      <c r="H52" s="18"/>
      <c r="I52" s="44"/>
      <c r="K52" s="43"/>
      <c r="L52" s="48" t="str">
        <f t="shared" si="2"/>
        <v/>
      </c>
      <c r="M52" s="43"/>
      <c r="N52" s="43"/>
    </row>
    <row r="53" spans="2:14" x14ac:dyDescent="0.25">
      <c r="B53" s="53"/>
      <c r="C53" s="15"/>
      <c r="D53" s="15"/>
      <c r="E53" s="23"/>
      <c r="F53" s="23"/>
      <c r="G53" s="41"/>
      <c r="H53" s="18"/>
      <c r="I53" s="44"/>
      <c r="K53" s="43"/>
      <c r="L53" s="48" t="str">
        <f t="shared" si="2"/>
        <v/>
      </c>
      <c r="M53" s="43"/>
      <c r="N53" s="43"/>
    </row>
    <row r="54" spans="2:14" x14ac:dyDescent="0.25">
      <c r="B54" s="53"/>
      <c r="C54" s="15"/>
      <c r="D54" s="15"/>
      <c r="E54" s="23"/>
      <c r="F54" s="23"/>
      <c r="G54" s="41"/>
      <c r="H54" s="18"/>
      <c r="I54" s="44"/>
      <c r="K54" s="43"/>
      <c r="L54" s="48" t="str">
        <f t="shared" si="2"/>
        <v/>
      </c>
      <c r="M54" s="43"/>
      <c r="N54" s="43"/>
    </row>
    <row r="55" spans="2:14" x14ac:dyDescent="0.25">
      <c r="B55" s="53"/>
      <c r="C55" s="15"/>
      <c r="D55" s="15"/>
      <c r="E55" s="23"/>
      <c r="F55" s="23"/>
      <c r="G55" s="51"/>
      <c r="H55" s="18"/>
      <c r="I55" s="44"/>
      <c r="K55" s="43"/>
      <c r="L55" s="48" t="str">
        <f t="shared" si="2"/>
        <v/>
      </c>
      <c r="M55" s="43"/>
      <c r="N55" s="43"/>
    </row>
    <row r="56" spans="2:14" x14ac:dyDescent="0.25">
      <c r="B56" s="53"/>
      <c r="C56" s="15"/>
      <c r="D56" s="15"/>
      <c r="E56" s="23"/>
      <c r="F56" s="23"/>
      <c r="G56" s="51"/>
      <c r="H56" s="18"/>
      <c r="I56" s="44"/>
      <c r="K56" s="43"/>
      <c r="L56" s="48" t="str">
        <f t="shared" si="2"/>
        <v/>
      </c>
      <c r="M56" s="43"/>
      <c r="N56" s="43"/>
    </row>
    <row r="57" spans="2:14" x14ac:dyDescent="0.25">
      <c r="B57" s="53"/>
      <c r="C57" s="15"/>
      <c r="D57" s="15"/>
      <c r="E57" s="23"/>
      <c r="F57" s="23"/>
      <c r="G57" s="41"/>
      <c r="H57" s="18"/>
      <c r="I57" s="44"/>
      <c r="K57" s="43"/>
      <c r="L57" s="48" t="str">
        <f t="shared" si="2"/>
        <v/>
      </c>
      <c r="M57" s="43"/>
      <c r="N57" s="43"/>
    </row>
    <row r="58" spans="2:14" x14ac:dyDescent="0.25">
      <c r="B58" s="53"/>
      <c r="C58" s="15"/>
      <c r="D58" s="15"/>
      <c r="E58" s="23"/>
      <c r="F58" s="23"/>
      <c r="G58" s="41"/>
      <c r="H58" s="18"/>
      <c r="I58" s="44"/>
      <c r="K58" s="43"/>
      <c r="L58" s="48" t="str">
        <f t="shared" si="2"/>
        <v/>
      </c>
      <c r="M58" s="43"/>
      <c r="N58" s="43"/>
    </row>
    <row r="59" spans="2:14" x14ac:dyDescent="0.25">
      <c r="B59" s="53"/>
      <c r="C59" s="15"/>
      <c r="D59" s="15"/>
      <c r="E59" s="23"/>
      <c r="F59" s="23"/>
      <c r="G59" s="41"/>
      <c r="H59" s="18"/>
      <c r="I59" s="44"/>
      <c r="K59" s="43"/>
      <c r="L59" s="48" t="str">
        <f t="shared" si="2"/>
        <v/>
      </c>
      <c r="M59" s="43"/>
      <c r="N59" s="43"/>
    </row>
    <row r="60" spans="2:14" x14ac:dyDescent="0.25">
      <c r="B60" s="53"/>
      <c r="C60" s="15"/>
      <c r="D60" s="15"/>
      <c r="E60" s="23"/>
      <c r="F60" s="23"/>
      <c r="G60" s="41"/>
      <c r="H60" s="18"/>
      <c r="I60" s="44"/>
      <c r="K60" s="43"/>
      <c r="L60" s="48" t="str">
        <f t="shared" si="2"/>
        <v/>
      </c>
      <c r="M60" s="43"/>
      <c r="N60" s="43"/>
    </row>
    <row r="61" spans="2:14" x14ac:dyDescent="0.25">
      <c r="B61" s="53"/>
      <c r="C61" s="15"/>
      <c r="D61" s="15"/>
      <c r="E61" s="23"/>
      <c r="F61" s="23"/>
      <c r="G61" s="41"/>
      <c r="H61" s="18"/>
      <c r="I61" s="44"/>
      <c r="K61" s="43"/>
      <c r="L61" s="48" t="str">
        <f t="shared" si="2"/>
        <v/>
      </c>
      <c r="M61" s="43"/>
      <c r="N61" s="43"/>
    </row>
    <row r="62" spans="2:14" x14ac:dyDescent="0.25">
      <c r="B62" s="53"/>
      <c r="C62" s="15"/>
      <c r="D62" s="15"/>
      <c r="E62" s="23"/>
      <c r="F62" s="23"/>
      <c r="G62" s="41"/>
      <c r="H62" s="18"/>
      <c r="I62" s="44"/>
      <c r="K62" s="43"/>
      <c r="L62" s="48" t="str">
        <f t="shared" si="2"/>
        <v/>
      </c>
      <c r="M62" s="43"/>
      <c r="N62" s="43"/>
    </row>
    <row r="63" spans="2:14" x14ac:dyDescent="0.25">
      <c r="B63" s="53"/>
      <c r="C63" s="15"/>
      <c r="D63" s="15"/>
      <c r="E63" s="23"/>
      <c r="F63" s="23"/>
      <c r="G63" s="41"/>
      <c r="H63" s="18"/>
      <c r="I63" s="44"/>
      <c r="K63" s="43"/>
      <c r="L63" s="48" t="str">
        <f t="shared" si="2"/>
        <v/>
      </c>
      <c r="M63" s="43"/>
      <c r="N63" s="43"/>
    </row>
    <row r="64" spans="2:14" x14ac:dyDescent="0.25">
      <c r="B64" s="53"/>
      <c r="C64" s="15"/>
      <c r="D64" s="15"/>
      <c r="E64" s="23"/>
      <c r="F64" s="23"/>
      <c r="G64" s="41"/>
      <c r="H64" s="18"/>
      <c r="I64" s="44"/>
      <c r="K64" s="43"/>
      <c r="L64" s="48" t="str">
        <f t="shared" si="2"/>
        <v/>
      </c>
      <c r="M64" s="43"/>
      <c r="N64" s="43"/>
    </row>
    <row r="65" spans="2:14" x14ac:dyDescent="0.25">
      <c r="B65" s="53"/>
      <c r="C65" s="15"/>
      <c r="D65" s="15"/>
      <c r="E65" s="23"/>
      <c r="F65" s="23"/>
      <c r="G65" s="41"/>
      <c r="H65" s="18" t="str">
        <f>IF(E65="","",F65*G65)</f>
        <v/>
      </c>
      <c r="I65" s="44"/>
      <c r="K65" s="43"/>
      <c r="L65" s="48" t="str">
        <f t="shared" si="2"/>
        <v/>
      </c>
      <c r="M65" s="43"/>
      <c r="N65" s="43"/>
    </row>
    <row r="66" spans="2:14" x14ac:dyDescent="0.25">
      <c r="B66" s="53"/>
      <c r="C66" s="15"/>
      <c r="D66" s="15"/>
      <c r="E66" s="23"/>
      <c r="F66" s="23"/>
      <c r="G66" s="41"/>
      <c r="H66" s="18"/>
      <c r="I66" s="44"/>
      <c r="K66" s="43"/>
      <c r="L66" s="48" t="str">
        <f t="shared" si="2"/>
        <v/>
      </c>
      <c r="M66" s="43"/>
      <c r="N66" s="43"/>
    </row>
    <row r="67" spans="2:14" s="31" customFormat="1" ht="19.5" customHeight="1" x14ac:dyDescent="0.25">
      <c r="B67" s="151" t="str">
        <f>$B$12</f>
        <v>3/C13.4</v>
      </c>
      <c r="C67" s="33" t="s">
        <v>957</v>
      </c>
      <c r="D67" s="33"/>
      <c r="E67" s="34"/>
      <c r="F67" s="35"/>
      <c r="G67" s="34"/>
      <c r="H67" s="36">
        <f>SUM(H11:H66)</f>
        <v>198450</v>
      </c>
      <c r="I67" s="37"/>
      <c r="L67" s="36">
        <f>SUM(L11:L66)</f>
        <v>18792</v>
      </c>
    </row>
  </sheetData>
  <mergeCells count="4">
    <mergeCell ref="F2:H2"/>
    <mergeCell ref="B5:G5"/>
    <mergeCell ref="H5:H8"/>
    <mergeCell ref="B6:G8"/>
  </mergeCells>
  <printOptions horizontalCentered="1"/>
  <pageMargins left="0.43307086614173229" right="0.31496062992125984" top="0.43307086614173229" bottom="0.62992125984251968" header="0.35433070866141736" footer="0.31496062992125984"/>
  <pageSetup paperSize="9" scale="79"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23FBD-1129-4F3A-AF3D-F4E926475E92}">
  <sheetPr>
    <tabColor rgb="FF92D050"/>
  </sheetPr>
  <dimension ref="B1:N55"/>
  <sheetViews>
    <sheetView view="pageBreakPreview" zoomScaleNormal="125" zoomScaleSheetLayoutView="100" zoomScalePageLayoutView="125" workbookViewId="0">
      <selection activeCell="L25" sqref="L25"/>
    </sheetView>
  </sheetViews>
  <sheetFormatPr defaultColWidth="6.6640625" defaultRowHeight="13.2" x14ac:dyDescent="0.25"/>
  <cols>
    <col min="1" max="1" width="0.6640625" style="1" customWidth="1"/>
    <col min="2" max="2" width="11.6640625" style="38" customWidth="1"/>
    <col min="3" max="3" width="45.6640625" style="3" customWidth="1"/>
    <col min="4" max="4" width="3.88671875" style="3" customWidth="1"/>
    <col min="5" max="5" width="13.6640625" style="4" customWidth="1"/>
    <col min="6" max="6" width="15.6640625" style="4" customWidth="1"/>
    <col min="7" max="7" width="15.6640625" style="1" customWidth="1"/>
    <col min="8" max="8" width="15.6640625" style="5" customWidth="1"/>
    <col min="9" max="9" width="0.6640625" style="5" customWidth="1"/>
    <col min="10" max="16384" width="6.6640625" style="1"/>
  </cols>
  <sheetData>
    <row r="1" spans="2:14" x14ac:dyDescent="0.25">
      <c r="H1" s="234">
        <f>MAX(H9:H500)</f>
        <v>4494</v>
      </c>
    </row>
    <row r="2" spans="2:14" x14ac:dyDescent="0.25">
      <c r="B2" s="2" t="str">
        <f>Client1</f>
        <v>Province of KwaZulu-Natal</v>
      </c>
      <c r="F2" s="510" t="str">
        <f>"Contract No. "&amp;ContractNo</f>
        <v>Contract No. ZNB02215/00000/00/HOD/INF/23/T</v>
      </c>
      <c r="G2" s="510"/>
      <c r="H2" s="510"/>
      <c r="K2" s="402"/>
      <c r="L2" s="402">
        <f>MAX(L3:L245)</f>
        <v>0</v>
      </c>
      <c r="M2" s="402"/>
      <c r="N2" s="403"/>
    </row>
    <row r="3" spans="2:14" x14ac:dyDescent="0.25">
      <c r="B3" s="96" t="str">
        <f>Client2</f>
        <v>Department of Transport</v>
      </c>
      <c r="K3" s="1" t="s">
        <v>1421</v>
      </c>
      <c r="L3" s="1" t="s">
        <v>1422</v>
      </c>
      <c r="M3" s="1" t="s">
        <v>1423</v>
      </c>
      <c r="N3" s="1" t="s">
        <v>1424</v>
      </c>
    </row>
    <row r="4" spans="2:14" x14ac:dyDescent="0.25">
      <c r="B4" s="84"/>
      <c r="C4" s="84"/>
      <c r="D4" s="84"/>
      <c r="E4" s="85"/>
      <c r="F4" s="85"/>
      <c r="G4" s="86"/>
      <c r="H4" s="98"/>
      <c r="K4" s="86"/>
      <c r="L4" s="86"/>
      <c r="M4" s="86"/>
      <c r="N4" s="86"/>
    </row>
    <row r="5" spans="2:14" x14ac:dyDescent="0.25">
      <c r="B5" s="507" t="s">
        <v>8</v>
      </c>
      <c r="C5" s="508"/>
      <c r="D5" s="508"/>
      <c r="E5" s="508"/>
      <c r="F5" s="508"/>
      <c r="G5" s="508"/>
      <c r="H5" s="535" t="str">
        <f>"CHAPTER "&amp;B12</f>
        <v>CHAPTER 3/C13.7</v>
      </c>
      <c r="I5" s="6"/>
    </row>
    <row r="6" spans="2:14" ht="7.5" customHeight="1" x14ac:dyDescent="0.25">
      <c r="B6" s="500" t="str">
        <f>ContractDescription</f>
        <v>UPGRADING OF MAIN ROAD P8/3 FROM GRAVEL TO BLACKTOP BETWEEN KM 17.560 AND KM 24.221 IN THE PIETERMARITZBURG REGION</v>
      </c>
      <c r="C6" s="501"/>
      <c r="D6" s="501"/>
      <c r="E6" s="501"/>
      <c r="F6" s="501"/>
      <c r="G6" s="501"/>
      <c r="H6" s="536"/>
      <c r="I6" s="9"/>
    </row>
    <row r="7" spans="2:14" ht="12.75" customHeight="1" x14ac:dyDescent="0.25">
      <c r="B7" s="500"/>
      <c r="C7" s="501"/>
      <c r="D7" s="501"/>
      <c r="E7" s="501"/>
      <c r="F7" s="501"/>
      <c r="G7" s="501"/>
      <c r="H7" s="536"/>
      <c r="I7" s="9"/>
    </row>
    <row r="8" spans="2:14" ht="7.5" customHeight="1" x14ac:dyDescent="0.25">
      <c r="B8" s="502"/>
      <c r="C8" s="503"/>
      <c r="D8" s="503"/>
      <c r="E8" s="503"/>
      <c r="F8" s="503"/>
      <c r="G8" s="503"/>
      <c r="H8" s="537"/>
      <c r="I8" s="9"/>
    </row>
    <row r="9" spans="2:14" s="10" customFormat="1" ht="25.2" customHeight="1" x14ac:dyDescent="0.25">
      <c r="B9" s="11" t="s">
        <v>0</v>
      </c>
      <c r="C9" s="12" t="s">
        <v>1</v>
      </c>
      <c r="D9" s="12" t="s">
        <v>1602</v>
      </c>
      <c r="E9" s="12" t="s">
        <v>2</v>
      </c>
      <c r="F9" s="12" t="s">
        <v>3</v>
      </c>
      <c r="G9" s="12" t="s">
        <v>4</v>
      </c>
      <c r="H9" s="12" t="s">
        <v>5</v>
      </c>
      <c r="I9" s="13"/>
      <c r="K9" s="12"/>
      <c r="L9" s="12"/>
      <c r="M9" s="12"/>
      <c r="N9" s="12"/>
    </row>
    <row r="10" spans="2:14" s="10" customFormat="1" ht="25.2" customHeight="1" x14ac:dyDescent="0.25">
      <c r="B10" s="49"/>
      <c r="C10" s="225" t="s">
        <v>1312</v>
      </c>
      <c r="D10" s="492"/>
      <c r="E10" s="54"/>
      <c r="F10" s="54"/>
      <c r="G10" s="54"/>
      <c r="H10" s="54"/>
      <c r="I10" s="13"/>
      <c r="K10" s="17"/>
      <c r="L10" s="17"/>
      <c r="M10" s="17"/>
      <c r="N10" s="17"/>
    </row>
    <row r="11" spans="2:14" x14ac:dyDescent="0.25">
      <c r="B11" s="14"/>
      <c r="C11" s="15"/>
      <c r="D11" s="15"/>
      <c r="E11" s="16"/>
      <c r="F11" s="16"/>
      <c r="G11" s="17"/>
      <c r="H11" s="18" t="str">
        <f>IF(E11="","",F11*G11)</f>
        <v/>
      </c>
      <c r="I11" s="19"/>
      <c r="K11" s="43"/>
      <c r="L11" s="43"/>
      <c r="M11" s="43"/>
      <c r="N11" s="43"/>
    </row>
    <row r="12" spans="2:14" x14ac:dyDescent="0.25">
      <c r="B12" s="20" t="s">
        <v>1343</v>
      </c>
      <c r="C12" s="21" t="s">
        <v>422</v>
      </c>
      <c r="D12" s="21"/>
      <c r="E12" s="23"/>
      <c r="F12" s="23"/>
      <c r="G12" s="43"/>
      <c r="H12" s="26" t="str">
        <f>IF(E12="","",F12*G12)</f>
        <v/>
      </c>
      <c r="I12" s="44"/>
      <c r="K12" s="43"/>
      <c r="L12" s="43"/>
      <c r="M12" s="43"/>
      <c r="N12" s="43"/>
    </row>
    <row r="13" spans="2:14" x14ac:dyDescent="0.25">
      <c r="B13" s="20"/>
      <c r="C13" s="15"/>
      <c r="D13" s="15"/>
      <c r="E13" s="23"/>
      <c r="F13" s="23"/>
      <c r="G13" s="43"/>
      <c r="H13" s="26" t="str">
        <f>IF(E13="","",F13*G13)</f>
        <v/>
      </c>
      <c r="I13" s="44"/>
      <c r="K13" s="25"/>
      <c r="L13" s="48" t="str">
        <f t="shared" ref="L13:L46" si="0">IF(K13="","",K13*F13)</f>
        <v/>
      </c>
      <c r="M13" s="25"/>
      <c r="N13" s="25"/>
    </row>
    <row r="14" spans="2:14" x14ac:dyDescent="0.25">
      <c r="B14" s="22" t="s">
        <v>1344</v>
      </c>
      <c r="C14" s="15" t="s">
        <v>423</v>
      </c>
      <c r="D14" s="15"/>
      <c r="E14" s="23"/>
      <c r="F14" s="24"/>
      <c r="G14" s="43"/>
      <c r="H14" s="26" t="str">
        <f t="shared" ref="H14:H23" si="1">IF(E14="","",F14*G14)</f>
        <v/>
      </c>
      <c r="I14" s="44"/>
      <c r="K14" s="43"/>
      <c r="L14" s="48" t="str">
        <f t="shared" si="0"/>
        <v/>
      </c>
      <c r="M14" s="43"/>
      <c r="N14" s="43"/>
    </row>
    <row r="15" spans="2:14" x14ac:dyDescent="0.25">
      <c r="B15" s="14"/>
      <c r="C15" s="15"/>
      <c r="D15" s="15"/>
      <c r="E15" s="23"/>
      <c r="F15" s="24"/>
      <c r="G15" s="46"/>
      <c r="H15" s="26" t="str">
        <f t="shared" si="1"/>
        <v/>
      </c>
      <c r="I15" s="44"/>
      <c r="K15" s="43"/>
      <c r="L15" s="48" t="str">
        <f t="shared" si="0"/>
        <v/>
      </c>
      <c r="M15" s="43"/>
      <c r="N15" s="43"/>
    </row>
    <row r="16" spans="2:14" ht="15.6" x14ac:dyDescent="0.25">
      <c r="B16" s="14" t="s">
        <v>1345</v>
      </c>
      <c r="C16" s="1" t="s">
        <v>1244</v>
      </c>
      <c r="D16" s="48"/>
      <c r="E16" s="215" t="s">
        <v>80</v>
      </c>
      <c r="F16" s="24">
        <v>3</v>
      </c>
      <c r="G16" s="48">
        <v>210</v>
      </c>
      <c r="H16" s="26">
        <f t="shared" si="1"/>
        <v>630</v>
      </c>
      <c r="K16" s="43"/>
      <c r="L16" s="48" t="str">
        <f t="shared" si="0"/>
        <v/>
      </c>
      <c r="M16" s="43"/>
      <c r="N16" s="43"/>
    </row>
    <row r="17" spans="2:14" x14ac:dyDescent="0.25">
      <c r="B17" s="14"/>
      <c r="C17" s="15"/>
      <c r="D17" s="15"/>
      <c r="E17" s="23"/>
      <c r="F17" s="24"/>
      <c r="G17" s="48" t="s">
        <v>1556</v>
      </c>
      <c r="H17" s="26" t="str">
        <f t="shared" si="1"/>
        <v/>
      </c>
      <c r="K17" s="43"/>
      <c r="L17" s="48" t="str">
        <f t="shared" si="0"/>
        <v/>
      </c>
      <c r="M17" s="43"/>
      <c r="N17" s="43"/>
    </row>
    <row r="18" spans="2:14" x14ac:dyDescent="0.25">
      <c r="B18" s="14" t="s">
        <v>1346</v>
      </c>
      <c r="C18" s="15" t="s">
        <v>424</v>
      </c>
      <c r="D18" s="15"/>
      <c r="E18" s="23"/>
      <c r="F18" s="24"/>
      <c r="G18" s="48" t="s">
        <v>1556</v>
      </c>
      <c r="H18" s="26" t="str">
        <f t="shared" si="1"/>
        <v/>
      </c>
      <c r="K18" s="43"/>
      <c r="L18" s="48" t="str">
        <f t="shared" si="0"/>
        <v/>
      </c>
      <c r="M18" s="43"/>
      <c r="N18" s="43"/>
    </row>
    <row r="19" spans="2:14" x14ac:dyDescent="0.25">
      <c r="B19" s="22"/>
      <c r="C19" s="15"/>
      <c r="D19" s="15"/>
      <c r="E19" s="23"/>
      <c r="F19" s="24"/>
      <c r="G19" s="50" t="s">
        <v>1556</v>
      </c>
      <c r="H19" s="26" t="str">
        <f t="shared" si="1"/>
        <v/>
      </c>
      <c r="I19" s="44"/>
      <c r="K19" s="43"/>
      <c r="L19" s="48" t="str">
        <f t="shared" si="0"/>
        <v/>
      </c>
      <c r="M19" s="43"/>
      <c r="N19" s="43"/>
    </row>
    <row r="20" spans="2:14" ht="22.8" x14ac:dyDescent="0.2">
      <c r="B20" s="22" t="s">
        <v>1347</v>
      </c>
      <c r="C20" s="214" t="s">
        <v>1242</v>
      </c>
      <c r="D20" s="214"/>
      <c r="E20" s="215" t="s">
        <v>6</v>
      </c>
      <c r="F20" s="24">
        <v>23</v>
      </c>
      <c r="G20" s="233">
        <v>105</v>
      </c>
      <c r="H20" s="26">
        <f t="shared" si="1"/>
        <v>2415</v>
      </c>
      <c r="I20" s="44"/>
      <c r="K20" s="43"/>
      <c r="L20" s="48" t="str">
        <f t="shared" si="0"/>
        <v/>
      </c>
      <c r="M20" s="43"/>
      <c r="N20" s="43"/>
    </row>
    <row r="21" spans="2:14" x14ac:dyDescent="0.2">
      <c r="B21" s="22"/>
      <c r="C21" s="214"/>
      <c r="D21" s="214"/>
      <c r="E21" s="215"/>
      <c r="F21" s="24"/>
      <c r="G21" s="211" t="s">
        <v>1556</v>
      </c>
      <c r="H21" s="26" t="str">
        <f t="shared" si="1"/>
        <v/>
      </c>
      <c r="I21" s="44"/>
      <c r="K21" s="43"/>
      <c r="L21" s="48" t="str">
        <f t="shared" si="0"/>
        <v/>
      </c>
      <c r="M21" s="43"/>
      <c r="N21" s="43"/>
    </row>
    <row r="22" spans="2:14" ht="22.8" x14ac:dyDescent="0.2">
      <c r="B22" s="22" t="s">
        <v>1348</v>
      </c>
      <c r="C22" s="214" t="s">
        <v>1243</v>
      </c>
      <c r="D22" s="214"/>
      <c r="E22" s="215" t="s">
        <v>6</v>
      </c>
      <c r="F22" s="24">
        <v>23</v>
      </c>
      <c r="G22" s="211">
        <v>63</v>
      </c>
      <c r="H22" s="26">
        <f t="shared" si="1"/>
        <v>1449</v>
      </c>
      <c r="I22" s="44"/>
      <c r="K22" s="43"/>
      <c r="L22" s="48" t="str">
        <f t="shared" si="0"/>
        <v/>
      </c>
      <c r="M22" s="43"/>
      <c r="N22" s="43"/>
    </row>
    <row r="23" spans="2:14" x14ac:dyDescent="0.25">
      <c r="B23" s="14"/>
      <c r="C23" s="15"/>
      <c r="D23" s="15"/>
      <c r="E23" s="23"/>
      <c r="F23" s="23"/>
      <c r="G23" s="43" t="s">
        <v>1556</v>
      </c>
      <c r="H23" s="26" t="str">
        <f t="shared" si="1"/>
        <v/>
      </c>
      <c r="I23" s="44"/>
      <c r="K23" s="43"/>
      <c r="L23" s="48" t="str">
        <f t="shared" si="0"/>
        <v/>
      </c>
      <c r="M23" s="43"/>
      <c r="N23" s="43"/>
    </row>
    <row r="24" spans="2:14" x14ac:dyDescent="0.25">
      <c r="B24" s="14"/>
      <c r="C24" s="15"/>
      <c r="D24" s="15"/>
      <c r="E24" s="23"/>
      <c r="F24" s="23"/>
      <c r="G24" s="43" t="s">
        <v>1556</v>
      </c>
      <c r="H24" s="26"/>
      <c r="I24" s="44"/>
      <c r="K24" s="43"/>
      <c r="L24" s="48" t="str">
        <f t="shared" si="0"/>
        <v/>
      </c>
      <c r="M24" s="43"/>
      <c r="N24" s="43"/>
    </row>
    <row r="25" spans="2:14" x14ac:dyDescent="0.25">
      <c r="B25" s="14"/>
      <c r="C25" s="15"/>
      <c r="D25" s="15"/>
      <c r="E25" s="23"/>
      <c r="F25" s="23"/>
      <c r="G25" s="41" t="s">
        <v>1556</v>
      </c>
      <c r="H25" s="26"/>
      <c r="I25" s="44"/>
      <c r="K25" s="43"/>
      <c r="L25" s="48" t="str">
        <f t="shared" si="0"/>
        <v/>
      </c>
      <c r="M25" s="43"/>
      <c r="N25" s="43"/>
    </row>
    <row r="26" spans="2:14" x14ac:dyDescent="0.25">
      <c r="B26" s="22"/>
      <c r="C26" s="15"/>
      <c r="D26" s="15"/>
      <c r="E26" s="23"/>
      <c r="F26" s="23"/>
      <c r="G26" s="41" t="s">
        <v>1556</v>
      </c>
      <c r="H26" s="26"/>
      <c r="I26" s="44"/>
      <c r="K26" s="43"/>
      <c r="L26" s="48" t="str">
        <f t="shared" si="0"/>
        <v/>
      </c>
      <c r="M26" s="43"/>
      <c r="N26" s="43"/>
    </row>
    <row r="27" spans="2:14" x14ac:dyDescent="0.25">
      <c r="B27" s="22"/>
      <c r="C27" s="15"/>
      <c r="D27" s="15"/>
      <c r="E27" s="23"/>
      <c r="F27" s="23"/>
      <c r="G27" s="41" t="s">
        <v>1556</v>
      </c>
      <c r="H27" s="26"/>
      <c r="I27" s="44"/>
      <c r="K27" s="43"/>
      <c r="L27" s="48" t="str">
        <f t="shared" si="0"/>
        <v/>
      </c>
      <c r="M27" s="43"/>
      <c r="N27" s="43"/>
    </row>
    <row r="28" spans="2:14" x14ac:dyDescent="0.25">
      <c r="B28" s="22"/>
      <c r="C28" s="15"/>
      <c r="D28" s="15"/>
      <c r="E28" s="23"/>
      <c r="F28" s="23"/>
      <c r="G28" s="41" t="s">
        <v>1556</v>
      </c>
      <c r="H28" s="26"/>
      <c r="I28" s="44"/>
      <c r="K28" s="43"/>
      <c r="L28" s="48" t="str">
        <f t="shared" si="0"/>
        <v/>
      </c>
      <c r="M28" s="43"/>
      <c r="N28" s="43"/>
    </row>
    <row r="29" spans="2:14" x14ac:dyDescent="0.25">
      <c r="B29" s="14"/>
      <c r="C29" s="15"/>
      <c r="D29" s="15"/>
      <c r="E29" s="23"/>
      <c r="F29" s="23"/>
      <c r="G29" s="41"/>
      <c r="H29" s="26"/>
      <c r="I29" s="44"/>
      <c r="K29" s="43"/>
      <c r="L29" s="48" t="str">
        <f t="shared" si="0"/>
        <v/>
      </c>
      <c r="M29" s="43"/>
      <c r="N29" s="43"/>
    </row>
    <row r="30" spans="2:14" x14ac:dyDescent="0.25">
      <c r="B30" s="14"/>
      <c r="C30" s="15"/>
      <c r="D30" s="15"/>
      <c r="E30" s="23"/>
      <c r="F30" s="23"/>
      <c r="G30" s="41"/>
      <c r="H30" s="26"/>
      <c r="I30" s="44"/>
      <c r="K30" s="43"/>
      <c r="L30" s="48" t="str">
        <f t="shared" si="0"/>
        <v/>
      </c>
      <c r="M30" s="43"/>
      <c r="N30" s="43"/>
    </row>
    <row r="31" spans="2:14" x14ac:dyDescent="0.25">
      <c r="B31" s="14"/>
      <c r="C31" s="15"/>
      <c r="D31" s="15"/>
      <c r="E31" s="23"/>
      <c r="F31" s="23"/>
      <c r="G31" s="41"/>
      <c r="H31" s="26"/>
      <c r="I31" s="44"/>
      <c r="K31" s="43"/>
      <c r="L31" s="48" t="str">
        <f t="shared" si="0"/>
        <v/>
      </c>
      <c r="M31" s="43"/>
      <c r="N31" s="43"/>
    </row>
    <row r="32" spans="2:14" x14ac:dyDescent="0.25">
      <c r="B32" s="14"/>
      <c r="C32" s="15"/>
      <c r="D32" s="15"/>
      <c r="E32" s="23"/>
      <c r="F32" s="23"/>
      <c r="G32" s="41"/>
      <c r="H32" s="26"/>
      <c r="I32" s="44"/>
      <c r="K32" s="43"/>
      <c r="L32" s="48" t="str">
        <f t="shared" si="0"/>
        <v/>
      </c>
      <c r="M32" s="43"/>
      <c r="N32" s="43"/>
    </row>
    <row r="33" spans="2:14" x14ac:dyDescent="0.25">
      <c r="B33" s="14"/>
      <c r="C33" s="15"/>
      <c r="D33" s="15"/>
      <c r="E33" s="23"/>
      <c r="F33" s="23"/>
      <c r="G33" s="51"/>
      <c r="H33" s="26"/>
      <c r="I33" s="44"/>
      <c r="K33" s="43"/>
      <c r="L33" s="48" t="str">
        <f t="shared" si="0"/>
        <v/>
      </c>
      <c r="M33" s="43"/>
      <c r="N33" s="43"/>
    </row>
    <row r="34" spans="2:14" x14ac:dyDescent="0.25">
      <c r="B34" s="14"/>
      <c r="C34" s="15"/>
      <c r="D34" s="15"/>
      <c r="E34" s="23"/>
      <c r="F34" s="23"/>
      <c r="G34" s="51"/>
      <c r="H34" s="26"/>
      <c r="I34" s="44"/>
      <c r="K34" s="43"/>
      <c r="L34" s="48" t="str">
        <f t="shared" si="0"/>
        <v/>
      </c>
      <c r="M34" s="43"/>
      <c r="N34" s="43"/>
    </row>
    <row r="35" spans="2:14" x14ac:dyDescent="0.25">
      <c r="B35" s="14"/>
      <c r="C35" s="15"/>
      <c r="D35" s="15"/>
      <c r="E35" s="23"/>
      <c r="F35" s="23"/>
      <c r="G35" s="41"/>
      <c r="H35" s="26"/>
      <c r="I35" s="44"/>
      <c r="K35" s="43"/>
      <c r="L35" s="48" t="str">
        <f t="shared" si="0"/>
        <v/>
      </c>
      <c r="M35" s="43"/>
      <c r="N35" s="43"/>
    </row>
    <row r="36" spans="2:14" x14ac:dyDescent="0.25">
      <c r="B36" s="14"/>
      <c r="C36" s="15"/>
      <c r="D36" s="15"/>
      <c r="E36" s="23"/>
      <c r="F36" s="23"/>
      <c r="G36" s="41"/>
      <c r="H36" s="26"/>
      <c r="I36" s="44"/>
      <c r="K36" s="43"/>
      <c r="L36" s="48" t="str">
        <f t="shared" si="0"/>
        <v/>
      </c>
      <c r="M36" s="43"/>
      <c r="N36" s="43"/>
    </row>
    <row r="37" spans="2:14" x14ac:dyDescent="0.25">
      <c r="B37" s="14"/>
      <c r="C37" s="15"/>
      <c r="D37" s="15"/>
      <c r="E37" s="23"/>
      <c r="F37" s="23"/>
      <c r="G37" s="41"/>
      <c r="H37" s="26"/>
      <c r="I37" s="44"/>
      <c r="K37" s="43"/>
      <c r="L37" s="48" t="str">
        <f t="shared" si="0"/>
        <v/>
      </c>
      <c r="M37" s="43"/>
      <c r="N37" s="43"/>
    </row>
    <row r="38" spans="2:14" x14ac:dyDescent="0.25">
      <c r="B38" s="14"/>
      <c r="C38" s="15"/>
      <c r="D38" s="15"/>
      <c r="E38" s="23"/>
      <c r="F38" s="23"/>
      <c r="G38" s="41"/>
      <c r="H38" s="26"/>
      <c r="I38" s="44"/>
      <c r="K38" s="43"/>
      <c r="L38" s="48" t="str">
        <f t="shared" si="0"/>
        <v/>
      </c>
      <c r="M38" s="43"/>
      <c r="N38" s="43"/>
    </row>
    <row r="39" spans="2:14" x14ac:dyDescent="0.25">
      <c r="B39" s="14"/>
      <c r="C39" s="15"/>
      <c r="D39" s="15"/>
      <c r="E39" s="23"/>
      <c r="F39" s="23"/>
      <c r="G39" s="41"/>
      <c r="H39" s="26"/>
      <c r="I39" s="44"/>
      <c r="K39" s="43"/>
      <c r="L39" s="48" t="str">
        <f t="shared" si="0"/>
        <v/>
      </c>
      <c r="M39" s="43"/>
      <c r="N39" s="43"/>
    </row>
    <row r="40" spans="2:14" x14ac:dyDescent="0.25">
      <c r="B40" s="14"/>
      <c r="C40" s="15"/>
      <c r="D40" s="15"/>
      <c r="E40" s="23"/>
      <c r="F40" s="23"/>
      <c r="G40" s="41"/>
      <c r="H40" s="26"/>
      <c r="I40" s="44"/>
      <c r="K40" s="43"/>
      <c r="L40" s="48" t="str">
        <f t="shared" si="0"/>
        <v/>
      </c>
      <c r="M40" s="43"/>
      <c r="N40" s="43"/>
    </row>
    <row r="41" spans="2:14" x14ac:dyDescent="0.25">
      <c r="B41" s="14"/>
      <c r="C41" s="15"/>
      <c r="D41" s="15"/>
      <c r="E41" s="23"/>
      <c r="F41" s="23"/>
      <c r="G41" s="41"/>
      <c r="H41" s="26"/>
      <c r="I41" s="44"/>
      <c r="K41" s="43"/>
      <c r="L41" s="48" t="str">
        <f t="shared" si="0"/>
        <v/>
      </c>
      <c r="M41" s="43"/>
      <c r="N41" s="43"/>
    </row>
    <row r="42" spans="2:14" x14ac:dyDescent="0.25">
      <c r="B42" s="14"/>
      <c r="C42" s="15"/>
      <c r="D42" s="15"/>
      <c r="E42" s="40"/>
      <c r="F42" s="23"/>
      <c r="G42" s="41"/>
      <c r="H42" s="26"/>
      <c r="I42" s="44"/>
      <c r="K42" s="43"/>
      <c r="L42" s="48" t="str">
        <f t="shared" si="0"/>
        <v/>
      </c>
      <c r="M42" s="43"/>
      <c r="N42" s="43"/>
    </row>
    <row r="43" spans="2:14" x14ac:dyDescent="0.25">
      <c r="B43" s="14"/>
      <c r="C43" s="15"/>
      <c r="D43" s="15"/>
      <c r="E43" s="23"/>
      <c r="F43" s="40"/>
      <c r="G43" s="41"/>
      <c r="H43" s="26"/>
      <c r="K43" s="43"/>
      <c r="L43" s="48" t="str">
        <f t="shared" si="0"/>
        <v/>
      </c>
      <c r="M43" s="43"/>
      <c r="N43" s="43"/>
    </row>
    <row r="44" spans="2:14" x14ac:dyDescent="0.25">
      <c r="B44" s="14"/>
      <c r="C44" s="15"/>
      <c r="D44" s="15"/>
      <c r="E44" s="40"/>
      <c r="F44" s="23"/>
      <c r="G44" s="41"/>
      <c r="H44" s="26"/>
      <c r="I44" s="44"/>
      <c r="K44" s="43"/>
      <c r="L44" s="48" t="str">
        <f t="shared" si="0"/>
        <v/>
      </c>
      <c r="M44" s="43"/>
      <c r="N44" s="43"/>
    </row>
    <row r="45" spans="2:14" x14ac:dyDescent="0.25">
      <c r="B45" s="14"/>
      <c r="C45" s="15"/>
      <c r="D45" s="15"/>
      <c r="E45" s="40"/>
      <c r="F45" s="40"/>
      <c r="G45" s="41"/>
      <c r="H45" s="26"/>
      <c r="I45" s="52"/>
      <c r="K45" s="43"/>
      <c r="L45" s="48" t="str">
        <f t="shared" si="0"/>
        <v/>
      </c>
      <c r="M45" s="43"/>
      <c r="N45" s="43"/>
    </row>
    <row r="46" spans="2:14" ht="12.75" customHeight="1" x14ac:dyDescent="0.25">
      <c r="B46" s="14"/>
      <c r="C46" s="15"/>
      <c r="D46" s="15"/>
      <c r="E46" s="23"/>
      <c r="F46" s="40"/>
      <c r="G46" s="41"/>
      <c r="H46" s="26"/>
      <c r="K46" s="43"/>
      <c r="L46" s="48" t="str">
        <f t="shared" si="0"/>
        <v/>
      </c>
      <c r="M46" s="43"/>
      <c r="N46" s="43"/>
    </row>
    <row r="47" spans="2:14" x14ac:dyDescent="0.25">
      <c r="B47" s="14"/>
      <c r="C47" s="15"/>
      <c r="D47" s="15"/>
      <c r="E47" s="23"/>
      <c r="F47" s="23"/>
      <c r="G47" s="41"/>
      <c r="H47" s="26"/>
      <c r="I47" s="44"/>
      <c r="K47" s="43"/>
      <c r="L47" s="48" t="str">
        <f t="shared" ref="L47:L54" si="2">IF(K47="","",K47*F47)</f>
        <v/>
      </c>
      <c r="M47" s="43"/>
      <c r="N47" s="43"/>
    </row>
    <row r="48" spans="2:14" x14ac:dyDescent="0.25">
      <c r="B48" s="14"/>
      <c r="C48" s="15"/>
      <c r="D48" s="15"/>
      <c r="E48" s="23"/>
      <c r="F48" s="23"/>
      <c r="G48" s="41"/>
      <c r="H48" s="26"/>
      <c r="I48" s="44"/>
      <c r="K48" s="43"/>
      <c r="L48" s="48" t="str">
        <f t="shared" si="2"/>
        <v/>
      </c>
      <c r="M48" s="43"/>
      <c r="N48" s="43"/>
    </row>
    <row r="49" spans="2:14" x14ac:dyDescent="0.25">
      <c r="B49" s="14"/>
      <c r="C49" s="15"/>
      <c r="D49" s="15"/>
      <c r="E49" s="23"/>
      <c r="F49" s="23"/>
      <c r="G49" s="41"/>
      <c r="H49" s="26"/>
      <c r="I49" s="44"/>
      <c r="K49" s="43"/>
      <c r="L49" s="48" t="str">
        <f t="shared" si="2"/>
        <v/>
      </c>
      <c r="M49" s="43"/>
      <c r="N49" s="43"/>
    </row>
    <row r="50" spans="2:14" x14ac:dyDescent="0.25">
      <c r="B50" s="14"/>
      <c r="C50" s="15"/>
      <c r="D50" s="15"/>
      <c r="E50" s="23"/>
      <c r="F50" s="23"/>
      <c r="G50" s="41"/>
      <c r="H50" s="26"/>
      <c r="I50" s="44"/>
      <c r="K50" s="43"/>
      <c r="L50" s="48" t="str">
        <f t="shared" si="2"/>
        <v/>
      </c>
      <c r="M50" s="43"/>
      <c r="N50" s="43"/>
    </row>
    <row r="51" spans="2:14" x14ac:dyDescent="0.25">
      <c r="B51" s="14"/>
      <c r="C51" s="15"/>
      <c r="D51" s="15"/>
      <c r="E51" s="23"/>
      <c r="F51" s="23"/>
      <c r="G51" s="41"/>
      <c r="H51" s="26"/>
      <c r="I51" s="44"/>
      <c r="K51" s="43"/>
      <c r="L51" s="48" t="str">
        <f t="shared" si="2"/>
        <v/>
      </c>
      <c r="M51" s="43"/>
      <c r="N51" s="43"/>
    </row>
    <row r="52" spans="2:14" x14ac:dyDescent="0.25">
      <c r="B52" s="14"/>
      <c r="C52" s="15"/>
      <c r="D52" s="15"/>
      <c r="E52" s="23"/>
      <c r="F52" s="23"/>
      <c r="G52" s="41"/>
      <c r="H52" s="26"/>
      <c r="I52" s="44"/>
      <c r="K52" s="43"/>
      <c r="L52" s="48" t="str">
        <f t="shared" si="2"/>
        <v/>
      </c>
      <c r="M52" s="43"/>
      <c r="N52" s="43"/>
    </row>
    <row r="53" spans="2:14" x14ac:dyDescent="0.25">
      <c r="B53" s="14"/>
      <c r="C53" s="15"/>
      <c r="D53" s="15"/>
      <c r="E53" s="23"/>
      <c r="F53" s="23"/>
      <c r="G53" s="41"/>
      <c r="H53" s="26"/>
      <c r="I53" s="44"/>
      <c r="K53" s="43"/>
      <c r="L53" s="48" t="str">
        <f t="shared" si="2"/>
        <v/>
      </c>
      <c r="M53" s="43"/>
      <c r="N53" s="43"/>
    </row>
    <row r="54" spans="2:14" x14ac:dyDescent="0.25">
      <c r="B54" s="22"/>
      <c r="C54" s="15"/>
      <c r="D54" s="15"/>
      <c r="E54" s="23"/>
      <c r="F54" s="23"/>
      <c r="G54" s="41"/>
      <c r="H54" s="26"/>
      <c r="I54" s="44"/>
      <c r="K54" s="43"/>
      <c r="L54" s="48" t="str">
        <f t="shared" si="2"/>
        <v/>
      </c>
      <c r="M54" s="43"/>
      <c r="N54" s="43"/>
    </row>
    <row r="55" spans="2:14" s="31" customFormat="1" x14ac:dyDescent="0.25">
      <c r="B55" s="32" t="str">
        <f>B12</f>
        <v>3/C13.7</v>
      </c>
      <c r="C55" s="33" t="s">
        <v>12</v>
      </c>
      <c r="D55" s="33"/>
      <c r="E55" s="34"/>
      <c r="F55" s="35"/>
      <c r="G55" s="34"/>
      <c r="H55" s="36">
        <f>SUM(H11:H54)</f>
        <v>4494</v>
      </c>
      <c r="I55" s="37"/>
      <c r="L55" s="36">
        <f>SUM(L11:L54)</f>
        <v>0</v>
      </c>
    </row>
  </sheetData>
  <mergeCells count="4">
    <mergeCell ref="F2:H2"/>
    <mergeCell ref="B5:G5"/>
    <mergeCell ref="H5:H8"/>
    <mergeCell ref="B6:G8"/>
  </mergeCells>
  <printOptions horizontalCentered="1"/>
  <pageMargins left="0.43307086614173229" right="0.31496062992125984" top="0.43307086614173229" bottom="0.62992125984251968" header="0.35433070866141736" footer="0.31496062992125984"/>
  <pageSetup paperSize="9" scale="78"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4C779-6DFD-4954-814A-08F52C1FDAF4}">
  <sheetPr>
    <tabColor rgb="FF92D050"/>
  </sheetPr>
  <dimension ref="A1:N44"/>
  <sheetViews>
    <sheetView view="pageBreakPreview" topLeftCell="A5" zoomScaleNormal="125" zoomScaleSheetLayoutView="100" zoomScalePageLayoutView="125" workbookViewId="0">
      <selection activeCell="L25" sqref="L25"/>
    </sheetView>
  </sheetViews>
  <sheetFormatPr defaultColWidth="6.6640625" defaultRowHeight="13.2" x14ac:dyDescent="0.25"/>
  <cols>
    <col min="1" max="1" width="0.6640625" style="1" customWidth="1"/>
    <col min="2" max="2" width="11.5546875" style="38" customWidth="1"/>
    <col min="3" max="3" width="45.5546875" style="3" customWidth="1"/>
    <col min="4" max="4" width="3.5546875" style="3" customWidth="1"/>
    <col min="5" max="5" width="13.5546875" style="4" customWidth="1"/>
    <col min="6" max="6" width="15.5546875" style="4" customWidth="1"/>
    <col min="7" max="7" width="15.5546875" style="1" customWidth="1"/>
    <col min="8" max="8" width="15.5546875" style="5" customWidth="1"/>
    <col min="9" max="9" width="0.6640625" style="5" customWidth="1"/>
    <col min="10" max="11" width="6.6640625" style="1"/>
    <col min="12" max="12" width="9.6640625" style="1" bestFit="1" customWidth="1"/>
    <col min="13" max="16384" width="6.6640625" style="1"/>
  </cols>
  <sheetData>
    <row r="1" spans="1:14" x14ac:dyDescent="0.25">
      <c r="H1" s="234">
        <f>MAX(H9:H496)</f>
        <v>78583</v>
      </c>
    </row>
    <row r="2" spans="1:14" x14ac:dyDescent="0.25">
      <c r="B2" s="2" t="str">
        <f>Client1</f>
        <v>Province of KwaZulu-Natal</v>
      </c>
      <c r="F2" s="510" t="str">
        <f>"Contract No. "&amp;ContractNo</f>
        <v>Contract No. ZNB02215/00000/00/HOD/INF/23/T</v>
      </c>
      <c r="G2" s="510"/>
      <c r="H2" s="510"/>
      <c r="K2" s="402"/>
      <c r="L2" s="402">
        <f>MAX(L3:L241)</f>
        <v>3326.7000000000003</v>
      </c>
      <c r="M2" s="402"/>
      <c r="N2" s="403"/>
    </row>
    <row r="3" spans="1:14" x14ac:dyDescent="0.25">
      <c r="B3" s="96" t="str">
        <f>Client2</f>
        <v>Department of Transport</v>
      </c>
      <c r="K3" s="1" t="s">
        <v>1421</v>
      </c>
      <c r="L3" s="1" t="s">
        <v>1422</v>
      </c>
      <c r="M3" s="1" t="s">
        <v>1423</v>
      </c>
      <c r="N3" s="1" t="s">
        <v>1424</v>
      </c>
    </row>
    <row r="4" spans="1:14" x14ac:dyDescent="0.25">
      <c r="B4" s="84"/>
      <c r="C4" s="84"/>
      <c r="D4" s="84"/>
      <c r="E4" s="85"/>
      <c r="F4" s="85"/>
      <c r="G4" s="86"/>
      <c r="H4" s="98"/>
      <c r="K4" s="86"/>
      <c r="L4" s="86"/>
      <c r="M4" s="86"/>
      <c r="N4" s="86"/>
    </row>
    <row r="5" spans="1:14" x14ac:dyDescent="0.25">
      <c r="B5" s="507" t="s">
        <v>8</v>
      </c>
      <c r="C5" s="508"/>
      <c r="D5" s="508"/>
      <c r="E5" s="508"/>
      <c r="F5" s="508"/>
      <c r="G5" s="508"/>
      <c r="H5" s="519" t="str">
        <f>"CHAPTER "&amp;B12</f>
        <v>CHAPTER 3/C13.8</v>
      </c>
      <c r="I5" s="6"/>
    </row>
    <row r="6" spans="1:14" ht="7.5" customHeight="1" x14ac:dyDescent="0.25">
      <c r="B6" s="500" t="str">
        <f>ContractDescription</f>
        <v>UPGRADING OF MAIN ROAD P8/3 FROM GRAVEL TO BLACKTOP BETWEEN KM 17.560 AND KM 24.221 IN THE PIETERMARITZBURG REGION</v>
      </c>
      <c r="C6" s="501"/>
      <c r="D6" s="501"/>
      <c r="E6" s="501"/>
      <c r="F6" s="501"/>
      <c r="G6" s="501"/>
      <c r="H6" s="520"/>
      <c r="I6" s="9"/>
    </row>
    <row r="7" spans="1:14" ht="12.75" customHeight="1" x14ac:dyDescent="0.25">
      <c r="B7" s="500"/>
      <c r="C7" s="501"/>
      <c r="D7" s="501"/>
      <c r="E7" s="501"/>
      <c r="F7" s="501"/>
      <c r="G7" s="501"/>
      <c r="H7" s="520"/>
      <c r="I7" s="9"/>
    </row>
    <row r="8" spans="1:14" ht="7.5" customHeight="1" x14ac:dyDescent="0.25">
      <c r="B8" s="502"/>
      <c r="C8" s="503"/>
      <c r="D8" s="503"/>
      <c r="E8" s="503"/>
      <c r="F8" s="503"/>
      <c r="G8" s="503"/>
      <c r="H8" s="521"/>
      <c r="I8" s="9"/>
    </row>
    <row r="9" spans="1:14" s="10" customFormat="1" ht="25.2" customHeight="1" x14ac:dyDescent="0.25">
      <c r="B9" s="11" t="s">
        <v>0</v>
      </c>
      <c r="C9" s="12" t="s">
        <v>1</v>
      </c>
      <c r="D9" s="12" t="s">
        <v>1602</v>
      </c>
      <c r="E9" s="12" t="s">
        <v>2</v>
      </c>
      <c r="F9" s="12" t="s">
        <v>3</v>
      </c>
      <c r="G9" s="12" t="s">
        <v>4</v>
      </c>
      <c r="H9" s="12" t="s">
        <v>5</v>
      </c>
      <c r="I9" s="13"/>
      <c r="K9" s="12"/>
      <c r="L9" s="12"/>
      <c r="M9" s="12"/>
      <c r="N9" s="12"/>
    </row>
    <row r="10" spans="1:14" s="10" customFormat="1" ht="25.2" customHeight="1" x14ac:dyDescent="0.25">
      <c r="B10" s="49"/>
      <c r="C10" s="225" t="s">
        <v>1312</v>
      </c>
      <c r="D10" s="492"/>
      <c r="E10" s="54"/>
      <c r="F10" s="54"/>
      <c r="G10" s="54"/>
      <c r="H10" s="54"/>
      <c r="I10" s="13"/>
      <c r="K10" s="17"/>
      <c r="L10" s="17"/>
      <c r="M10" s="17"/>
      <c r="N10" s="17"/>
    </row>
    <row r="11" spans="1:14" x14ac:dyDescent="0.25">
      <c r="A11" s="5"/>
      <c r="B11" s="53"/>
      <c r="C11" s="15"/>
      <c r="D11" s="15"/>
      <c r="E11" s="16"/>
      <c r="F11" s="16"/>
      <c r="G11" s="17"/>
      <c r="H11" s="18" t="str">
        <f t="shared" ref="H11:H33" si="0">IF(E11="","",F11*G11)</f>
        <v/>
      </c>
      <c r="I11" s="19"/>
      <c r="K11" s="43"/>
      <c r="L11" s="43"/>
      <c r="M11" s="43"/>
      <c r="N11" s="43"/>
    </row>
    <row r="12" spans="1:14" x14ac:dyDescent="0.25">
      <c r="A12" s="5"/>
      <c r="B12" s="80" t="s">
        <v>1349</v>
      </c>
      <c r="C12" s="21" t="s">
        <v>426</v>
      </c>
      <c r="D12" s="21"/>
      <c r="E12" s="23"/>
      <c r="F12" s="23"/>
      <c r="G12" s="43"/>
      <c r="H12" s="18" t="str">
        <f t="shared" si="0"/>
        <v/>
      </c>
      <c r="I12" s="44"/>
      <c r="K12" s="43"/>
      <c r="L12" s="43"/>
      <c r="M12" s="43"/>
      <c r="N12" s="43"/>
    </row>
    <row r="13" spans="1:14" x14ac:dyDescent="0.25">
      <c r="A13" s="5"/>
      <c r="B13" s="80"/>
      <c r="C13" s="15"/>
      <c r="D13" s="15"/>
      <c r="E13" s="23"/>
      <c r="F13" s="23"/>
      <c r="G13" s="43"/>
      <c r="H13" s="18" t="str">
        <f t="shared" si="0"/>
        <v/>
      </c>
      <c r="I13" s="44"/>
      <c r="K13" s="25"/>
      <c r="L13" s="48" t="str">
        <f t="shared" ref="L13:L42" si="1">IF(K13="","",K13*F13)</f>
        <v/>
      </c>
      <c r="M13" s="25"/>
      <c r="N13" s="25"/>
    </row>
    <row r="14" spans="1:14" x14ac:dyDescent="0.25">
      <c r="A14" s="5"/>
      <c r="B14" s="53"/>
      <c r="C14" s="15"/>
      <c r="D14" s="15"/>
      <c r="E14" s="23"/>
      <c r="F14" s="24"/>
      <c r="G14" s="50"/>
      <c r="H14" s="18" t="str">
        <f t="shared" si="0"/>
        <v/>
      </c>
      <c r="I14" s="44"/>
      <c r="K14" s="43"/>
      <c r="L14" s="48" t="str">
        <f t="shared" si="1"/>
        <v/>
      </c>
      <c r="M14" s="43"/>
      <c r="N14" s="43"/>
    </row>
    <row r="15" spans="1:14" x14ac:dyDescent="0.25">
      <c r="A15" s="5"/>
      <c r="B15" s="53" t="s">
        <v>1350</v>
      </c>
      <c r="C15" s="15" t="s">
        <v>427</v>
      </c>
      <c r="D15" s="15"/>
      <c r="E15" s="23"/>
      <c r="F15" s="24"/>
      <c r="G15" s="50"/>
      <c r="H15" s="18" t="str">
        <f t="shared" si="0"/>
        <v/>
      </c>
      <c r="I15" s="44"/>
      <c r="K15" s="43"/>
      <c r="L15" s="48" t="str">
        <f t="shared" si="1"/>
        <v/>
      </c>
      <c r="M15" s="43"/>
      <c r="N15" s="43"/>
    </row>
    <row r="16" spans="1:14" x14ac:dyDescent="0.25">
      <c r="A16" s="5"/>
      <c r="B16" s="53"/>
      <c r="C16" s="15"/>
      <c r="D16" s="15"/>
      <c r="E16" s="23"/>
      <c r="F16" s="23"/>
      <c r="G16" s="43"/>
      <c r="H16" s="18" t="str">
        <f t="shared" si="0"/>
        <v/>
      </c>
      <c r="I16" s="44"/>
      <c r="K16" s="43"/>
      <c r="L16" s="48" t="str">
        <f t="shared" si="1"/>
        <v/>
      </c>
      <c r="M16" s="43"/>
      <c r="N16" s="43"/>
    </row>
    <row r="17" spans="1:14" x14ac:dyDescent="0.25">
      <c r="A17" s="5"/>
      <c r="B17" s="53" t="s">
        <v>1351</v>
      </c>
      <c r="C17" s="15" t="s">
        <v>428</v>
      </c>
      <c r="D17" s="15"/>
      <c r="E17" s="23" t="s">
        <v>44</v>
      </c>
      <c r="F17" s="23">
        <v>2</v>
      </c>
      <c r="G17" s="41">
        <v>158</v>
      </c>
      <c r="H17" s="18">
        <f t="shared" si="0"/>
        <v>316</v>
      </c>
      <c r="I17" s="44"/>
      <c r="K17" s="43">
        <f>G17*5%</f>
        <v>7.9</v>
      </c>
      <c r="L17" s="48">
        <f t="shared" si="1"/>
        <v>15.8</v>
      </c>
      <c r="M17" s="43"/>
      <c r="N17" s="43"/>
    </row>
    <row r="18" spans="1:14" x14ac:dyDescent="0.25">
      <c r="A18" s="5"/>
      <c r="B18" s="53"/>
      <c r="C18" s="15"/>
      <c r="D18" s="15"/>
      <c r="E18" s="23"/>
      <c r="F18" s="23"/>
      <c r="G18" s="41" t="s">
        <v>1556</v>
      </c>
      <c r="H18" s="18" t="str">
        <f t="shared" si="0"/>
        <v/>
      </c>
      <c r="I18" s="44"/>
      <c r="K18" s="43"/>
      <c r="L18" s="48" t="str">
        <f t="shared" si="1"/>
        <v/>
      </c>
      <c r="M18" s="43"/>
      <c r="N18" s="43"/>
    </row>
    <row r="19" spans="1:14" x14ac:dyDescent="0.25">
      <c r="A19" s="5"/>
      <c r="B19" s="53" t="s">
        <v>1352</v>
      </c>
      <c r="C19" s="15" t="s">
        <v>429</v>
      </c>
      <c r="D19" s="15"/>
      <c r="E19" s="23" t="s">
        <v>44</v>
      </c>
      <c r="F19" s="23">
        <v>2</v>
      </c>
      <c r="G19" s="41">
        <v>5250</v>
      </c>
      <c r="H19" s="18">
        <f t="shared" si="0"/>
        <v>10500</v>
      </c>
      <c r="I19" s="44"/>
      <c r="K19" s="43"/>
      <c r="L19" s="48" t="str">
        <f t="shared" si="1"/>
        <v/>
      </c>
      <c r="M19" s="43"/>
      <c r="N19" s="43"/>
    </row>
    <row r="20" spans="1:14" x14ac:dyDescent="0.25">
      <c r="A20" s="5"/>
      <c r="B20" s="53"/>
      <c r="C20" s="15"/>
      <c r="D20" s="15"/>
      <c r="E20" s="23"/>
      <c r="F20" s="23"/>
      <c r="G20" s="41" t="s">
        <v>1556</v>
      </c>
      <c r="H20" s="18" t="str">
        <f t="shared" si="0"/>
        <v/>
      </c>
      <c r="I20" s="44"/>
      <c r="K20" s="43"/>
      <c r="L20" s="48" t="str">
        <f t="shared" si="1"/>
        <v/>
      </c>
      <c r="M20" s="43"/>
      <c r="N20" s="43"/>
    </row>
    <row r="21" spans="1:14" ht="15.6" x14ac:dyDescent="0.25">
      <c r="A21" s="5"/>
      <c r="B21" s="53" t="s">
        <v>1353</v>
      </c>
      <c r="C21" s="15" t="s">
        <v>1236</v>
      </c>
      <c r="D21" s="15"/>
      <c r="E21" s="23" t="s">
        <v>34</v>
      </c>
      <c r="F21" s="23">
        <v>10</v>
      </c>
      <c r="G21" s="41">
        <v>3990</v>
      </c>
      <c r="H21" s="18">
        <f t="shared" si="0"/>
        <v>39900</v>
      </c>
      <c r="I21" s="44"/>
      <c r="K21" s="43">
        <f>G21*5%</f>
        <v>199.5</v>
      </c>
      <c r="L21" s="48">
        <f t="shared" si="1"/>
        <v>1995</v>
      </c>
      <c r="M21" s="43"/>
      <c r="N21" s="43"/>
    </row>
    <row r="22" spans="1:14" x14ac:dyDescent="0.25">
      <c r="A22" s="5"/>
      <c r="B22" s="53"/>
      <c r="C22" s="15"/>
      <c r="D22" s="15"/>
      <c r="E22" s="23"/>
      <c r="F22" s="23"/>
      <c r="G22" s="51" t="s">
        <v>1556</v>
      </c>
      <c r="H22" s="18" t="str">
        <f t="shared" si="0"/>
        <v/>
      </c>
      <c r="I22" s="44"/>
      <c r="K22" s="43"/>
      <c r="L22" s="48" t="str">
        <f t="shared" si="1"/>
        <v/>
      </c>
      <c r="M22" s="43"/>
      <c r="N22" s="43"/>
    </row>
    <row r="23" spans="1:14" x14ac:dyDescent="0.25">
      <c r="A23" s="5"/>
      <c r="B23" s="53" t="s">
        <v>1354</v>
      </c>
      <c r="C23" s="15" t="s">
        <v>430</v>
      </c>
      <c r="D23" s="15"/>
      <c r="E23" s="23"/>
      <c r="F23" s="23"/>
      <c r="G23" s="51" t="s">
        <v>1556</v>
      </c>
      <c r="H23" s="18" t="str">
        <f t="shared" si="0"/>
        <v/>
      </c>
      <c r="I23" s="44"/>
      <c r="K23" s="43"/>
      <c r="L23" s="48" t="str">
        <f t="shared" si="1"/>
        <v/>
      </c>
      <c r="M23" s="43"/>
      <c r="N23" s="43"/>
    </row>
    <row r="24" spans="1:14" x14ac:dyDescent="0.25">
      <c r="A24" s="5"/>
      <c r="B24" s="53"/>
      <c r="C24" s="15"/>
      <c r="D24" s="15"/>
      <c r="E24" s="23"/>
      <c r="F24" s="23"/>
      <c r="G24" s="41" t="s">
        <v>1556</v>
      </c>
      <c r="H24" s="18" t="str">
        <f t="shared" si="0"/>
        <v/>
      </c>
      <c r="I24" s="44"/>
      <c r="K24" s="43"/>
      <c r="L24" s="48" t="str">
        <f t="shared" si="1"/>
        <v/>
      </c>
      <c r="M24" s="43"/>
      <c r="N24" s="43"/>
    </row>
    <row r="25" spans="1:14" x14ac:dyDescent="0.25">
      <c r="A25" s="5"/>
      <c r="B25" s="53" t="s">
        <v>1355</v>
      </c>
      <c r="C25" s="15" t="s">
        <v>431</v>
      </c>
      <c r="D25" s="15"/>
      <c r="E25" s="23"/>
      <c r="F25" s="23"/>
      <c r="G25" s="41" t="s">
        <v>1556</v>
      </c>
      <c r="H25" s="18" t="str">
        <f t="shared" si="0"/>
        <v/>
      </c>
      <c r="I25" s="44"/>
      <c r="K25" s="43"/>
      <c r="L25" s="48" t="str">
        <f t="shared" si="1"/>
        <v/>
      </c>
      <c r="M25" s="43"/>
      <c r="N25" s="43"/>
    </row>
    <row r="26" spans="1:14" x14ac:dyDescent="0.25">
      <c r="A26" s="5"/>
      <c r="B26" s="53"/>
      <c r="C26" s="15"/>
      <c r="D26" s="15"/>
      <c r="E26" s="23"/>
      <c r="F26" s="23"/>
      <c r="G26" s="41" t="s">
        <v>1556</v>
      </c>
      <c r="H26" s="18" t="str">
        <f t="shared" si="0"/>
        <v/>
      </c>
      <c r="I26" s="44"/>
      <c r="K26" s="43"/>
      <c r="L26" s="48" t="str">
        <f t="shared" si="1"/>
        <v/>
      </c>
      <c r="M26" s="43"/>
      <c r="N26" s="43"/>
    </row>
    <row r="27" spans="1:14" x14ac:dyDescent="0.25">
      <c r="A27" s="5"/>
      <c r="B27" s="53" t="s">
        <v>49</v>
      </c>
      <c r="C27" s="15" t="s">
        <v>1237</v>
      </c>
      <c r="D27" s="15"/>
      <c r="E27" s="23" t="s">
        <v>6</v>
      </c>
      <c r="F27" s="23">
        <v>37</v>
      </c>
      <c r="G27" s="41">
        <v>126</v>
      </c>
      <c r="H27" s="18">
        <f t="shared" si="0"/>
        <v>4662</v>
      </c>
      <c r="I27" s="44"/>
      <c r="K27" s="43"/>
      <c r="L27" s="48" t="str">
        <f t="shared" si="1"/>
        <v/>
      </c>
      <c r="M27" s="43"/>
      <c r="N27" s="43"/>
    </row>
    <row r="28" spans="1:14" x14ac:dyDescent="0.25">
      <c r="A28" s="5"/>
      <c r="B28" s="53"/>
      <c r="C28" s="15"/>
      <c r="D28" s="15"/>
      <c r="E28" s="23"/>
      <c r="F28" s="23"/>
      <c r="G28" s="41" t="s">
        <v>1556</v>
      </c>
      <c r="H28" s="18" t="str">
        <f t="shared" si="0"/>
        <v/>
      </c>
      <c r="I28" s="44"/>
      <c r="K28" s="43"/>
      <c r="L28" s="48" t="str">
        <f t="shared" si="1"/>
        <v/>
      </c>
      <c r="M28" s="43"/>
      <c r="N28" s="43"/>
    </row>
    <row r="29" spans="1:14" x14ac:dyDescent="0.25">
      <c r="A29" s="5"/>
      <c r="B29" s="53" t="s">
        <v>1356</v>
      </c>
      <c r="C29" s="15" t="s">
        <v>432</v>
      </c>
      <c r="D29" s="15"/>
      <c r="E29" s="40"/>
      <c r="F29" s="23"/>
      <c r="G29" s="41" t="s">
        <v>1556</v>
      </c>
      <c r="H29" s="18" t="str">
        <f t="shared" si="0"/>
        <v/>
      </c>
      <c r="I29" s="44"/>
      <c r="K29" s="43"/>
      <c r="L29" s="48" t="str">
        <f t="shared" si="1"/>
        <v/>
      </c>
      <c r="M29" s="43"/>
      <c r="N29" s="43"/>
    </row>
    <row r="30" spans="1:14" x14ac:dyDescent="0.25">
      <c r="A30" s="5"/>
      <c r="B30" s="53"/>
      <c r="C30" s="15"/>
      <c r="D30" s="15"/>
      <c r="E30" s="23"/>
      <c r="F30" s="40"/>
      <c r="G30" s="41" t="s">
        <v>1556</v>
      </c>
      <c r="H30" s="18" t="str">
        <f t="shared" si="0"/>
        <v/>
      </c>
      <c r="K30" s="43"/>
      <c r="L30" s="48" t="str">
        <f t="shared" si="1"/>
        <v/>
      </c>
      <c r="M30" s="43"/>
      <c r="N30" s="43"/>
    </row>
    <row r="31" spans="1:14" x14ac:dyDescent="0.25">
      <c r="A31" s="5"/>
      <c r="B31" s="53" t="s">
        <v>49</v>
      </c>
      <c r="C31" s="15" t="s">
        <v>1238</v>
      </c>
      <c r="D31" s="15"/>
      <c r="E31" s="40" t="s">
        <v>6</v>
      </c>
      <c r="F31" s="23">
        <v>21</v>
      </c>
      <c r="G31" s="41">
        <v>95</v>
      </c>
      <c r="H31" s="18">
        <f t="shared" si="0"/>
        <v>1995</v>
      </c>
      <c r="I31" s="44"/>
      <c r="K31" s="43">
        <f>_Subsoil</f>
        <v>8</v>
      </c>
      <c r="L31" s="48">
        <f t="shared" si="1"/>
        <v>168</v>
      </c>
      <c r="M31" s="43"/>
      <c r="N31" s="43"/>
    </row>
    <row r="32" spans="1:14" x14ac:dyDescent="0.25">
      <c r="A32" s="5"/>
      <c r="B32" s="53"/>
      <c r="C32" s="15"/>
      <c r="D32" s="15"/>
      <c r="E32" s="23"/>
      <c r="F32" s="23"/>
      <c r="G32" s="41" t="s">
        <v>1556</v>
      </c>
      <c r="H32" s="18" t="str">
        <f t="shared" si="0"/>
        <v/>
      </c>
      <c r="I32" s="44"/>
      <c r="K32" s="43"/>
      <c r="L32" s="48" t="str">
        <f t="shared" si="1"/>
        <v/>
      </c>
      <c r="M32" s="43"/>
      <c r="N32" s="43"/>
    </row>
    <row r="33" spans="1:14" ht="15.6" x14ac:dyDescent="0.25">
      <c r="A33" s="5"/>
      <c r="B33" s="53" t="s">
        <v>1357</v>
      </c>
      <c r="C33" s="15" t="s">
        <v>1241</v>
      </c>
      <c r="D33" s="15"/>
      <c r="E33" s="23" t="s">
        <v>80</v>
      </c>
      <c r="F33" s="23">
        <v>23</v>
      </c>
      <c r="G33" s="41">
        <v>105</v>
      </c>
      <c r="H33" s="18">
        <f t="shared" si="0"/>
        <v>2415</v>
      </c>
      <c r="I33" s="44"/>
      <c r="K33" s="43">
        <f>_Geofabric</f>
        <v>5.3</v>
      </c>
      <c r="L33" s="48">
        <f t="shared" si="1"/>
        <v>121.89999999999999</v>
      </c>
      <c r="M33" s="43"/>
      <c r="N33" s="43"/>
    </row>
    <row r="34" spans="1:14" ht="12.75" customHeight="1" x14ac:dyDescent="0.25">
      <c r="A34" s="5"/>
      <c r="B34" s="53"/>
      <c r="C34" s="15"/>
      <c r="D34" s="15"/>
      <c r="E34" s="23"/>
      <c r="F34" s="23"/>
      <c r="G34" s="41" t="s">
        <v>1556</v>
      </c>
      <c r="H34" s="18"/>
      <c r="I34" s="44"/>
      <c r="K34" s="43"/>
      <c r="L34" s="48" t="str">
        <f t="shared" si="1"/>
        <v/>
      </c>
      <c r="M34" s="43"/>
      <c r="N34" s="43"/>
    </row>
    <row r="35" spans="1:14" ht="15.6" x14ac:dyDescent="0.25">
      <c r="A35" s="5"/>
      <c r="B35" s="53" t="s">
        <v>1358</v>
      </c>
      <c r="C35" s="15" t="s">
        <v>1512</v>
      </c>
      <c r="D35" s="15"/>
      <c r="E35" s="23" t="s">
        <v>34</v>
      </c>
      <c r="F35" s="23">
        <v>2</v>
      </c>
      <c r="G35" s="41">
        <v>630</v>
      </c>
      <c r="H35" s="18">
        <f>IF(E35="","",F35*G35)</f>
        <v>1260</v>
      </c>
      <c r="I35" s="44"/>
      <c r="K35" s="43">
        <f>_Backfill</f>
        <v>45</v>
      </c>
      <c r="L35" s="48">
        <f t="shared" si="1"/>
        <v>90</v>
      </c>
      <c r="M35" s="43"/>
      <c r="N35" s="43"/>
    </row>
    <row r="36" spans="1:14" x14ac:dyDescent="0.25">
      <c r="A36" s="5"/>
      <c r="B36" s="53"/>
      <c r="C36" s="15"/>
      <c r="D36" s="15"/>
      <c r="E36" s="23"/>
      <c r="F36" s="23"/>
      <c r="G36" s="41" t="s">
        <v>1556</v>
      </c>
      <c r="H36" s="18" t="str">
        <f>IF(E36="","",F36*G36)</f>
        <v/>
      </c>
      <c r="I36" s="44"/>
      <c r="K36" s="43"/>
      <c r="L36" s="48" t="str">
        <f t="shared" si="1"/>
        <v/>
      </c>
      <c r="M36" s="43"/>
      <c r="N36" s="43"/>
    </row>
    <row r="37" spans="1:14" x14ac:dyDescent="0.25">
      <c r="A37" s="5"/>
      <c r="B37" s="53" t="s">
        <v>1359</v>
      </c>
      <c r="C37" s="15" t="s">
        <v>1240</v>
      </c>
      <c r="D37" s="15"/>
      <c r="E37" s="23" t="s">
        <v>6</v>
      </c>
      <c r="F37" s="23">
        <v>67</v>
      </c>
      <c r="G37" s="41">
        <v>105</v>
      </c>
      <c r="H37" s="18">
        <f>IF(E37="","",F37*G37)</f>
        <v>7035</v>
      </c>
      <c r="I37" s="44"/>
      <c r="K37" s="43">
        <f>_Subsoil</f>
        <v>8</v>
      </c>
      <c r="L37" s="48">
        <f t="shared" si="1"/>
        <v>536</v>
      </c>
      <c r="M37" s="43"/>
      <c r="N37" s="43"/>
    </row>
    <row r="38" spans="1:14" x14ac:dyDescent="0.25">
      <c r="A38" s="5"/>
      <c r="B38" s="53"/>
      <c r="C38" s="15"/>
      <c r="D38" s="15"/>
      <c r="E38" s="23"/>
      <c r="F38" s="23"/>
      <c r="G38" s="41" t="s">
        <v>1556</v>
      </c>
      <c r="H38" s="18"/>
      <c r="I38" s="44"/>
      <c r="K38" s="43"/>
      <c r="L38" s="48" t="str">
        <f t="shared" si="1"/>
        <v/>
      </c>
      <c r="M38" s="43"/>
      <c r="N38" s="43"/>
    </row>
    <row r="39" spans="1:14" x14ac:dyDescent="0.25">
      <c r="A39" s="5"/>
      <c r="B39" s="53" t="s">
        <v>1360</v>
      </c>
      <c r="C39" s="15" t="s">
        <v>433</v>
      </c>
      <c r="D39" s="15"/>
      <c r="E39" s="23"/>
      <c r="F39" s="23"/>
      <c r="G39" s="41" t="s">
        <v>1556</v>
      </c>
      <c r="H39" s="18" t="str">
        <f>IF(E39="","",F39*G39)</f>
        <v/>
      </c>
      <c r="I39" s="44"/>
      <c r="K39" s="43"/>
      <c r="L39" s="48" t="str">
        <f t="shared" si="1"/>
        <v/>
      </c>
      <c r="M39" s="43"/>
      <c r="N39" s="43"/>
    </row>
    <row r="40" spans="1:14" x14ac:dyDescent="0.25">
      <c r="A40" s="5"/>
      <c r="B40" s="53"/>
      <c r="C40" s="15"/>
      <c r="D40" s="15"/>
      <c r="E40" s="23"/>
      <c r="F40" s="23"/>
      <c r="G40" s="41" t="s">
        <v>1556</v>
      </c>
      <c r="H40" s="18" t="str">
        <f>IF(E40="","",F40*G40)</f>
        <v/>
      </c>
      <c r="I40" s="44"/>
      <c r="K40" s="43"/>
      <c r="L40" s="48" t="str">
        <f t="shared" si="1"/>
        <v/>
      </c>
      <c r="M40" s="43"/>
      <c r="N40" s="43"/>
    </row>
    <row r="41" spans="1:14" ht="39.6" x14ac:dyDescent="0.25">
      <c r="A41" s="5"/>
      <c r="B41" s="53" t="s">
        <v>1361</v>
      </c>
      <c r="C41" s="15" t="s">
        <v>1239</v>
      </c>
      <c r="D41" s="15"/>
      <c r="E41" s="23" t="s">
        <v>6</v>
      </c>
      <c r="F41" s="23">
        <v>50</v>
      </c>
      <c r="G41" s="41">
        <v>210</v>
      </c>
      <c r="H41" s="18">
        <f>IF(E41="","",F41*G41)</f>
        <v>10500</v>
      </c>
      <c r="I41" s="44"/>
      <c r="K41" s="43">
        <f>_Subsoil</f>
        <v>8</v>
      </c>
      <c r="L41" s="48">
        <f t="shared" si="1"/>
        <v>400</v>
      </c>
      <c r="M41" s="43"/>
      <c r="N41" s="43"/>
    </row>
    <row r="42" spans="1:14" x14ac:dyDescent="0.25">
      <c r="A42" s="5"/>
      <c r="B42" s="53"/>
      <c r="C42" s="15"/>
      <c r="D42" s="15"/>
      <c r="E42" s="23"/>
      <c r="F42" s="23"/>
      <c r="G42" s="41"/>
      <c r="H42" s="18"/>
      <c r="I42" s="44"/>
      <c r="K42" s="43"/>
      <c r="L42" s="48" t="str">
        <f t="shared" si="1"/>
        <v/>
      </c>
      <c r="M42" s="43"/>
      <c r="N42" s="43"/>
    </row>
    <row r="43" spans="1:14" x14ac:dyDescent="0.25">
      <c r="A43" s="5"/>
      <c r="B43" s="53"/>
      <c r="C43" s="15"/>
      <c r="D43" s="15"/>
      <c r="E43" s="23"/>
      <c r="F43" s="23"/>
      <c r="G43" s="41"/>
      <c r="H43" s="18" t="str">
        <f>IF(E43="","",F43*G43)</f>
        <v/>
      </c>
      <c r="I43" s="44"/>
      <c r="K43" s="43"/>
      <c r="L43" s="48" t="str">
        <f>IF(K43="","",K43*F43)</f>
        <v/>
      </c>
      <c r="M43" s="43"/>
      <c r="N43" s="43"/>
    </row>
    <row r="44" spans="1:14" s="31" customFormat="1" ht="19.5" customHeight="1" x14ac:dyDescent="0.25">
      <c r="B44" s="151" t="str">
        <f>$B$12</f>
        <v>3/C13.8</v>
      </c>
      <c r="C44" s="33" t="s">
        <v>957</v>
      </c>
      <c r="D44" s="33"/>
      <c r="E44" s="34"/>
      <c r="F44" s="35"/>
      <c r="G44" s="34"/>
      <c r="H44" s="36">
        <f>SUM(H11:H43)</f>
        <v>78583</v>
      </c>
      <c r="I44" s="37"/>
      <c r="L44" s="36">
        <f>SUM(L11:L43)</f>
        <v>3326.7000000000003</v>
      </c>
    </row>
  </sheetData>
  <mergeCells count="4">
    <mergeCell ref="F2:H2"/>
    <mergeCell ref="B5:G5"/>
    <mergeCell ref="H5:H8"/>
    <mergeCell ref="B6:G8"/>
  </mergeCells>
  <printOptions horizontalCentered="1"/>
  <pageMargins left="0.43307086614173229" right="0.31496062992125984" top="0.43307086614173229" bottom="0.62992125984251968" header="0.35433070866141736" footer="0.31496062992125984"/>
  <pageSetup paperSize="9" scale="79" firstPageNumber="31" orientation="portrait" cellComments="asDisplayed" r:id="rId1"/>
  <headerFooter>
    <oddHeader xml:space="preserve">&amp;R&amp;"Arial,Bold Italic"
</oddHeader>
    <oddFooter xml:space="preserve">&amp;L&amp;"Arial,Bold"___________________________________________________________________________________________________________________
CIDB OPEN TENDER: Contract Ver. 20-10-2021: COTO&amp;R&amp;"Arial,Bold"_____________________
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96</vt:i4>
      </vt:variant>
    </vt:vector>
  </HeadingPairs>
  <TitlesOfParts>
    <vt:vector size="160" baseType="lpstr">
      <vt:lpstr>Information</vt:lpstr>
      <vt:lpstr>C1.2</vt:lpstr>
      <vt:lpstr>C1.3</vt:lpstr>
      <vt:lpstr>C1.4</vt:lpstr>
      <vt:lpstr>C1.5</vt:lpstr>
      <vt:lpstr>C1.7</vt:lpstr>
      <vt:lpstr>C2.1</vt:lpstr>
      <vt:lpstr>C2.2</vt:lpstr>
      <vt:lpstr>C4.1</vt:lpstr>
      <vt:lpstr>C4.2</vt:lpstr>
      <vt:lpstr>C4.3</vt:lpstr>
      <vt:lpstr>C4.4</vt:lpstr>
      <vt:lpstr>C5.1</vt:lpstr>
      <vt:lpstr>C5.2</vt:lpstr>
      <vt:lpstr>C5.3</vt:lpstr>
      <vt:lpstr>C5.4</vt:lpstr>
      <vt:lpstr>C8.1</vt:lpstr>
      <vt:lpstr>C10.1</vt:lpstr>
      <vt:lpstr>C11.6</vt:lpstr>
      <vt:lpstr>C20.1</vt:lpstr>
      <vt:lpstr>A1</vt:lpstr>
      <vt:lpstr>Chapter E</vt:lpstr>
      <vt:lpstr>E1</vt:lpstr>
      <vt:lpstr>Chapter F</vt:lpstr>
      <vt:lpstr>F1</vt:lpstr>
      <vt:lpstr>Summary1</vt:lpstr>
      <vt:lpstr>Chapter G</vt:lpstr>
      <vt:lpstr>CPG</vt:lpstr>
      <vt:lpstr>A</vt:lpstr>
      <vt:lpstr>E</vt:lpstr>
      <vt:lpstr>F</vt:lpstr>
      <vt:lpstr>Summary</vt:lpstr>
      <vt:lpstr>Summary Checking</vt:lpstr>
      <vt:lpstr>C1.2 CPG</vt:lpstr>
      <vt:lpstr>C1.3 CPG</vt:lpstr>
      <vt:lpstr>C1.6</vt:lpstr>
      <vt:lpstr>C3.1</vt:lpstr>
      <vt:lpstr>C3.2</vt:lpstr>
      <vt:lpstr>C3.3</vt:lpstr>
      <vt:lpstr>C11.1</vt:lpstr>
      <vt:lpstr>C11.2</vt:lpstr>
      <vt:lpstr>C11.4</vt:lpstr>
      <vt:lpstr>C11.5</vt:lpstr>
      <vt:lpstr>C11.7</vt:lpstr>
      <vt:lpstr>C11.8</vt:lpstr>
      <vt:lpstr>C11.9</vt:lpstr>
      <vt:lpstr>B- STC 4189 13.1</vt:lpstr>
      <vt:lpstr>B STC 4189 13.2</vt:lpstr>
      <vt:lpstr>B STC 4189 13.3</vt:lpstr>
      <vt:lpstr>B STC 4189 13.4</vt:lpstr>
      <vt:lpstr>B STC 4189 13.7</vt:lpstr>
      <vt:lpstr>B STC 4189 13.8</vt:lpstr>
      <vt:lpstr>B- STC 3389 13.1 </vt:lpstr>
      <vt:lpstr>B STC 3389 13.2</vt:lpstr>
      <vt:lpstr>B STC 3389 13.3 </vt:lpstr>
      <vt:lpstr>B STC 3389 13.4</vt:lpstr>
      <vt:lpstr>B STC 3389 13.7 </vt:lpstr>
      <vt:lpstr>B STC 3389 13.8</vt:lpstr>
      <vt:lpstr>B- STC 4191 13.1</vt:lpstr>
      <vt:lpstr>B STC 4191 13.2</vt:lpstr>
      <vt:lpstr>B STC 4191 13.3</vt:lpstr>
      <vt:lpstr>B STC 4191 13.4</vt:lpstr>
      <vt:lpstr>B STC 4191 13.7 </vt:lpstr>
      <vt:lpstr>B STC 4191 13.8</vt:lpstr>
      <vt:lpstr>_Backfill</vt:lpstr>
      <vt:lpstr>_Duration</vt:lpstr>
      <vt:lpstr>_Excavation</vt:lpstr>
      <vt:lpstr>_Geofabric</vt:lpstr>
      <vt:lpstr>_HaulPerMetre</vt:lpstr>
      <vt:lpstr>_Kerb</vt:lpstr>
      <vt:lpstr>_LabourDaily</vt:lpstr>
      <vt:lpstr>_LabourRate</vt:lpstr>
      <vt:lpstr>_Mix</vt:lpstr>
      <vt:lpstr>_Place</vt:lpstr>
      <vt:lpstr>_Spread</vt:lpstr>
      <vt:lpstr>_Stamp</vt:lpstr>
      <vt:lpstr>_Subsoil</vt:lpstr>
      <vt:lpstr>_Summary</vt:lpstr>
      <vt:lpstr>_Wacker</vt:lpstr>
      <vt:lpstr>Client1</vt:lpstr>
      <vt:lpstr>Client2</vt:lpstr>
      <vt:lpstr>ContractDescription</vt:lpstr>
      <vt:lpstr>ContractNo</vt:lpstr>
      <vt:lpstr>Page_A</vt:lpstr>
      <vt:lpstr>Page_E</vt:lpstr>
      <vt:lpstr>Page_F</vt:lpstr>
      <vt:lpstr>Page_G</vt:lpstr>
      <vt:lpstr>A!Print_Area</vt:lpstr>
      <vt:lpstr>'A1'!Print_Area</vt:lpstr>
      <vt:lpstr>'B- STC 3389 13.1 '!Print_Area</vt:lpstr>
      <vt:lpstr>'B STC 3389 13.2'!Print_Area</vt:lpstr>
      <vt:lpstr>'B STC 3389 13.3 '!Print_Area</vt:lpstr>
      <vt:lpstr>'B STC 3389 13.4'!Print_Area</vt:lpstr>
      <vt:lpstr>'B STC 3389 13.7 '!Print_Area</vt:lpstr>
      <vt:lpstr>'B STC 3389 13.8'!Print_Area</vt:lpstr>
      <vt:lpstr>'B- STC 4189 13.1'!Print_Area</vt:lpstr>
      <vt:lpstr>'B STC 4189 13.2'!Print_Area</vt:lpstr>
      <vt:lpstr>'B STC 4189 13.3'!Print_Area</vt:lpstr>
      <vt:lpstr>'B STC 4189 13.4'!Print_Area</vt:lpstr>
      <vt:lpstr>'B STC 4189 13.7'!Print_Area</vt:lpstr>
      <vt:lpstr>'B STC 4189 13.8'!Print_Area</vt:lpstr>
      <vt:lpstr>'B- STC 4191 13.1'!Print_Area</vt:lpstr>
      <vt:lpstr>'B STC 4191 13.2'!Print_Area</vt:lpstr>
      <vt:lpstr>'B STC 4191 13.3'!Print_Area</vt:lpstr>
      <vt:lpstr>'B STC 4191 13.4'!Print_Area</vt:lpstr>
      <vt:lpstr>'B STC 4191 13.7 '!Print_Area</vt:lpstr>
      <vt:lpstr>'B STC 4191 13.8'!Print_Area</vt:lpstr>
      <vt:lpstr>C1.2!Print_Area</vt:lpstr>
      <vt:lpstr>'C1.2 CPG'!Print_Area</vt:lpstr>
      <vt:lpstr>C1.3!Print_Area</vt:lpstr>
      <vt:lpstr>'C1.3 CPG'!Print_Area</vt:lpstr>
      <vt:lpstr>C1.4!Print_Area</vt:lpstr>
      <vt:lpstr>C1.5!Print_Area</vt:lpstr>
      <vt:lpstr>C1.6!Print_Area</vt:lpstr>
      <vt:lpstr>C1.7!Print_Area</vt:lpstr>
      <vt:lpstr>C10.1!Print_Area</vt:lpstr>
      <vt:lpstr>C11.1!Print_Area</vt:lpstr>
      <vt:lpstr>C11.2!Print_Area</vt:lpstr>
      <vt:lpstr>C11.4!Print_Area</vt:lpstr>
      <vt:lpstr>C11.5!Print_Area</vt:lpstr>
      <vt:lpstr>C11.6!Print_Area</vt:lpstr>
      <vt:lpstr>C11.7!Print_Area</vt:lpstr>
      <vt:lpstr>C11.8!Print_Area</vt:lpstr>
      <vt:lpstr>C11.9!Print_Area</vt:lpstr>
      <vt:lpstr>C2.1!Print_Area</vt:lpstr>
      <vt:lpstr>C2.2!Print_Area</vt:lpstr>
      <vt:lpstr>C20.1!Print_Area</vt:lpstr>
      <vt:lpstr>C3.1!Print_Area</vt:lpstr>
      <vt:lpstr>C3.2!Print_Area</vt:lpstr>
      <vt:lpstr>C3.3!Print_Area</vt:lpstr>
      <vt:lpstr>C4.1!Print_Area</vt:lpstr>
      <vt:lpstr>C4.2!Print_Area</vt:lpstr>
      <vt:lpstr>C4.3!Print_Area</vt:lpstr>
      <vt:lpstr>C4.4!Print_Area</vt:lpstr>
      <vt:lpstr>C5.1!Print_Area</vt:lpstr>
      <vt:lpstr>C5.2!Print_Area</vt:lpstr>
      <vt:lpstr>C5.3!Print_Area</vt:lpstr>
      <vt:lpstr>C5.4!Print_Area</vt:lpstr>
      <vt:lpstr>C8.1!Print_Area</vt:lpstr>
      <vt:lpstr>'Chapter E'!Print_Area</vt:lpstr>
      <vt:lpstr>'Chapter F'!Print_Area</vt:lpstr>
      <vt:lpstr>'Chapter G'!Print_Area</vt:lpstr>
      <vt:lpstr>CPG!Print_Area</vt:lpstr>
      <vt:lpstr>E!Print_Area</vt:lpstr>
      <vt:lpstr>'E1'!Print_Area</vt:lpstr>
      <vt:lpstr>F!Print_Area</vt:lpstr>
      <vt:lpstr>'F1'!Print_Area</vt:lpstr>
      <vt:lpstr>Summary!Print_Area</vt:lpstr>
      <vt:lpstr>'Summary Checking'!Print_Area</vt:lpstr>
      <vt:lpstr>Summary1!Print_Area</vt:lpstr>
      <vt:lpstr>C10.1!Print_Titles</vt:lpstr>
      <vt:lpstr>C11.1!Print_Titles</vt:lpstr>
      <vt:lpstr>C11.2!Print_Titles</vt:lpstr>
      <vt:lpstr>C11.4!Print_Titles</vt:lpstr>
      <vt:lpstr>C11.5!Print_Titles</vt:lpstr>
      <vt:lpstr>C11.7!Print_Titles</vt:lpstr>
      <vt:lpstr>C11.9!Print_Titles</vt:lpstr>
      <vt:lpstr>C2.1!Print_Titles</vt:lpstr>
      <vt:lpstr>C2.2!Print_Titles</vt:lpstr>
      <vt:lpstr>C4.4!Print_Titles</vt:lpstr>
    </vt:vector>
  </TitlesOfParts>
  <Company>Ninham Shand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s.jacobs@ilifa.biz</dc:creator>
  <cp:lastModifiedBy>Stean Jacobs</cp:lastModifiedBy>
  <cp:lastPrinted>2024-02-12T04:13:18Z</cp:lastPrinted>
  <dcterms:created xsi:type="dcterms:W3CDTF">2002-10-04T09:45:02Z</dcterms:created>
  <dcterms:modified xsi:type="dcterms:W3CDTF">2024-03-15T08:28:06Z</dcterms:modified>
</cp:coreProperties>
</file>